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dc-fs01\Arquivos\Departamental\RI\RI\Resultados\2026\1TRI\"/>
    </mc:Choice>
  </mc:AlternateContent>
  <xr:revisionPtr revIDLastSave="0" documentId="13_ncr:1_{9E25E3DC-0C69-49D6-AD8B-08600E862D5A}" xr6:coauthVersionLast="47" xr6:coauthVersionMax="47" xr10:uidLastSave="{00000000-0000-0000-0000-000000000000}"/>
  <bookViews>
    <workbookView xWindow="-110" yWindow="-110" windowWidth="19420" windowHeight="11020" tabRatio="594" firstSheet="3" activeTab="3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DRE" sheetId="1" r:id="rId4"/>
    <sheet name="DFC Price" sheetId="18" state="hidden" r:id="rId5"/>
    <sheet name="Balanço Patrimonial" sheetId="3" r:id="rId6"/>
    <sheet name="Fluxo de caixa" sheetId="12" r:id="rId7"/>
    <sheet name="DRE Histórico" sheetId="19" r:id="rId8"/>
  </sheets>
  <externalReferences>
    <externalReference r:id="rId9"/>
  </externalReference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'Balanço Patrimonial'!$A$2:$H$68</definedName>
    <definedName name="_xlnm.Print_Area" localSheetId="3">DRE!$A$2:$AK$53</definedName>
    <definedName name="_xlnm.Print_Area" localSheetId="6">'Fluxo de caixa'!$A$2:$V$77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'Fluxo de caixa'!$2:$2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12" l="1"/>
  <c r="D28" i="12" s="1"/>
  <c r="T22" i="12"/>
  <c r="D22" i="12" s="1"/>
  <c r="F31" i="3"/>
  <c r="T42" i="12"/>
  <c r="D42" i="12" s="1"/>
  <c r="F64" i="3"/>
  <c r="F63" i="3"/>
  <c r="F62" i="3"/>
  <c r="F61" i="3"/>
  <c r="F60" i="3"/>
  <c r="F59" i="3"/>
  <c r="F58" i="3"/>
  <c r="F57" i="3"/>
  <c r="F56" i="3"/>
  <c r="F53" i="3"/>
  <c r="F52" i="3"/>
  <c r="F51" i="3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34" i="3"/>
  <c r="F33" i="3"/>
  <c r="F30" i="3"/>
  <c r="F25" i="3"/>
  <c r="F24" i="3"/>
  <c r="F22" i="3"/>
  <c r="F21" i="3"/>
  <c r="F20" i="3"/>
  <c r="F19" i="3"/>
  <c r="F18" i="3"/>
  <c r="F14" i="3"/>
  <c r="F13" i="3"/>
  <c r="F12" i="3"/>
  <c r="F11" i="3"/>
  <c r="F10" i="3"/>
  <c r="F9" i="3"/>
  <c r="F8" i="3"/>
  <c r="F6" i="3"/>
  <c r="F5" i="3"/>
  <c r="T59" i="12"/>
  <c r="D59" i="12" s="1"/>
  <c r="T57" i="12"/>
  <c r="D57" i="12" s="1"/>
  <c r="T55" i="12"/>
  <c r="D55" i="12" s="1"/>
  <c r="T53" i="12"/>
  <c r="D53" i="12" s="1"/>
  <c r="T52" i="12"/>
  <c r="T50" i="12"/>
  <c r="D50" i="12" s="1"/>
  <c r="T49" i="12"/>
  <c r="D49" i="12" s="1"/>
  <c r="T45" i="12"/>
  <c r="D45" i="12" s="1"/>
  <c r="T44" i="12"/>
  <c r="D44" i="12" s="1"/>
  <c r="T43" i="12"/>
  <c r="D43" i="12" s="1"/>
  <c r="T34" i="12"/>
  <c r="D34" i="12" s="1"/>
  <c r="T33" i="12"/>
  <c r="D33" i="12" s="1"/>
  <c r="T32" i="12"/>
  <c r="D32" i="12" s="1"/>
  <c r="T31" i="12"/>
  <c r="D31" i="12" s="1"/>
  <c r="T30" i="12"/>
  <c r="D30" i="12" s="1"/>
  <c r="T29" i="12"/>
  <c r="D29" i="12" s="1"/>
  <c r="T27" i="12"/>
  <c r="D27" i="12" s="1"/>
  <c r="T26" i="12"/>
  <c r="D26" i="12" s="1"/>
  <c r="T20" i="12"/>
  <c r="D20" i="12" s="1"/>
  <c r="T19" i="12"/>
  <c r="D19" i="12" s="1"/>
  <c r="T18" i="12"/>
  <c r="D18" i="12" s="1"/>
  <c r="T17" i="12"/>
  <c r="D17" i="12" s="1"/>
  <c r="T14" i="12"/>
  <c r="D14" i="12" s="1"/>
  <c r="T13" i="12"/>
  <c r="D13" i="12"/>
  <c r="T12" i="12"/>
  <c r="D12" i="12" s="1"/>
  <c r="T11" i="12"/>
  <c r="D11" i="12" s="1"/>
  <c r="T10" i="12"/>
  <c r="D10" i="12" s="1"/>
  <c r="T9" i="12"/>
  <c r="D9" i="12" s="1"/>
  <c r="D51" i="12"/>
  <c r="D52" i="12"/>
  <c r="D54" i="12"/>
  <c r="D56" i="12"/>
  <c r="D58" i="12"/>
  <c r="D39" i="12"/>
  <c r="D40" i="12"/>
  <c r="D41" i="12"/>
  <c r="D38" i="12"/>
  <c r="D35" i="12"/>
  <c r="D21" i="12"/>
  <c r="D7" i="12"/>
  <c r="D15" i="12"/>
  <c r="D16" i="12"/>
  <c r="T8" i="12" l="1"/>
  <c r="D8" i="12" s="1"/>
  <c r="T6" i="12"/>
  <c r="D6" i="12" s="1"/>
  <c r="T4" i="12"/>
  <c r="G53" i="3" l="1"/>
  <c r="E26" i="3"/>
  <c r="E54" i="3"/>
  <c r="E65" i="3"/>
  <c r="H53" i="3" l="1"/>
  <c r="E67" i="3"/>
  <c r="E68" i="3" l="1"/>
  <c r="R4" i="12" l="1"/>
  <c r="Q4" i="12"/>
  <c r="M4" i="12"/>
  <c r="I4" i="12"/>
  <c r="E4" i="12"/>
  <c r="D23" i="12" l="1"/>
  <c r="D36" i="12" s="1"/>
  <c r="D47" i="12"/>
  <c r="C65" i="12"/>
  <c r="D60" i="12"/>
  <c r="C60" i="12"/>
  <c r="C61" i="12" s="1"/>
  <c r="AI21" i="1"/>
  <c r="AI18" i="1"/>
  <c r="AI13" i="1"/>
  <c r="D61" i="12" l="1"/>
  <c r="D65" i="12" l="1"/>
  <c r="S25" i="1"/>
  <c r="P63" i="12"/>
  <c r="H52" i="3" l="1"/>
  <c r="G52" i="3"/>
  <c r="H50" i="3"/>
  <c r="G50" i="3"/>
  <c r="G49" i="3"/>
  <c r="H49" i="3"/>
  <c r="G51" i="3"/>
  <c r="H51" i="3"/>
  <c r="T63" i="12"/>
  <c r="S63" i="12"/>
  <c r="S50" i="12"/>
  <c r="S51" i="12"/>
  <c r="S52" i="12"/>
  <c r="S53" i="12"/>
  <c r="S54" i="12"/>
  <c r="S55" i="12"/>
  <c r="S56" i="12"/>
  <c r="S57" i="12"/>
  <c r="S58" i="12"/>
  <c r="S59" i="12"/>
  <c r="S49" i="12"/>
  <c r="S39" i="12"/>
  <c r="S40" i="12"/>
  <c r="S41" i="12"/>
  <c r="S42" i="12"/>
  <c r="S43" i="12"/>
  <c r="S44" i="12"/>
  <c r="S45" i="12"/>
  <c r="S46" i="12"/>
  <c r="S38" i="12"/>
  <c r="S36" i="12"/>
  <c r="S35" i="12"/>
  <c r="S26" i="12"/>
  <c r="S27" i="12"/>
  <c r="S28" i="12"/>
  <c r="S29" i="12"/>
  <c r="S30" i="12"/>
  <c r="S31" i="12"/>
  <c r="S32" i="12"/>
  <c r="S33" i="12"/>
  <c r="S34" i="12"/>
  <c r="S25" i="12"/>
  <c r="S22" i="12"/>
  <c r="S20" i="12"/>
  <c r="S21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6" i="12"/>
  <c r="S4" i="12"/>
  <c r="H23" i="12"/>
  <c r="H36" i="12"/>
  <c r="H47" i="12"/>
  <c r="H60" i="12"/>
  <c r="AH23" i="1"/>
  <c r="L23" i="12" l="1"/>
  <c r="L36" i="12" s="1"/>
  <c r="K36" i="12"/>
  <c r="K23" i="12"/>
  <c r="G47" i="12"/>
  <c r="G36" i="12"/>
  <c r="G23" i="12"/>
  <c r="C47" i="12"/>
  <c r="C36" i="12"/>
  <c r="C23" i="12"/>
  <c r="AH51" i="1" l="1"/>
  <c r="AH47" i="1"/>
  <c r="AH48" i="1"/>
  <c r="AH49" i="1"/>
  <c r="AH50" i="1"/>
  <c r="AH46" i="1"/>
  <c r="AH45" i="1"/>
  <c r="AH43" i="1"/>
  <c r="AH42" i="1"/>
  <c r="AH41" i="1"/>
  <c r="AH40" i="1"/>
  <c r="AH39" i="1"/>
  <c r="AH38" i="1"/>
  <c r="AH32" i="1"/>
  <c r="AH31" i="1"/>
  <c r="AH26" i="1"/>
  <c r="AH25" i="1"/>
  <c r="AH21" i="1"/>
  <c r="AH18" i="1"/>
  <c r="AH13" i="1"/>
  <c r="AI9" i="1"/>
  <c r="AH9" i="1"/>
  <c r="AI4" i="1"/>
  <c r="AI5" i="1"/>
  <c r="AI6" i="1"/>
  <c r="AI3" i="1"/>
  <c r="AH4" i="1"/>
  <c r="AH5" i="1"/>
  <c r="AH6" i="1"/>
  <c r="AH3" i="1"/>
  <c r="W11" i="1" l="1"/>
  <c r="AE27" i="1"/>
  <c r="AA23" i="1"/>
  <c r="AA11" i="1"/>
  <c r="Q52" i="1"/>
  <c r="P52" i="1"/>
  <c r="Q44" i="1"/>
  <c r="P44" i="1"/>
  <c r="P33" i="1"/>
  <c r="AD16" i="1" l="1"/>
  <c r="AD10" i="1"/>
  <c r="AD11" i="1" s="1"/>
  <c r="Z33" i="1"/>
  <c r="Z27" i="1"/>
  <c r="Z19" i="1"/>
  <c r="Z16" i="1"/>
  <c r="Z9" i="1"/>
  <c r="Z10" i="1" s="1"/>
  <c r="Z23" i="1" s="1"/>
  <c r="Z29" i="1" s="1"/>
  <c r="Z35" i="1" s="1"/>
  <c r="V33" i="1"/>
  <c r="V27" i="1"/>
  <c r="V29" i="1" s="1"/>
  <c r="V35" i="1" s="1"/>
  <c r="V23" i="1"/>
  <c r="V19" i="1"/>
  <c r="V16" i="1"/>
  <c r="R43" i="1"/>
  <c r="R42" i="1"/>
  <c r="R33" i="1"/>
  <c r="R27" i="1"/>
  <c r="R19" i="1"/>
  <c r="R16" i="1"/>
  <c r="R8" i="1"/>
  <c r="R10" i="1" s="1"/>
  <c r="AI32" i="1"/>
  <c r="AI31" i="1"/>
  <c r="Z44" i="1" l="1"/>
  <c r="Z52" i="1" s="1"/>
  <c r="Z53" i="1" s="1"/>
  <c r="Z36" i="1"/>
  <c r="V36" i="1"/>
  <c r="V44" i="1"/>
  <c r="V52" i="1" s="1"/>
  <c r="V53" i="1" s="1"/>
  <c r="R11" i="1"/>
  <c r="R23" i="1"/>
  <c r="R29" i="1" s="1"/>
  <c r="R35" i="1" s="1"/>
  <c r="AE10" i="1"/>
  <c r="R44" i="1" l="1"/>
  <c r="R52" i="1" s="1"/>
  <c r="R53" i="1" s="1"/>
  <c r="R36" i="1"/>
  <c r="AE11" i="1"/>
  <c r="AF48" i="1"/>
  <c r="AF49" i="1"/>
  <c r="AH14" i="1" l="1"/>
  <c r="AI26" i="1" l="1"/>
  <c r="AI25" i="1"/>
  <c r="AE18" i="1"/>
  <c r="AE19" i="1" s="1"/>
  <c r="AE13" i="1"/>
  <c r="P47" i="12" l="1"/>
  <c r="P60" i="12"/>
  <c r="L47" i="12" l="1"/>
  <c r="L60" i="12"/>
  <c r="L61" i="12"/>
  <c r="L65" i="12" s="1"/>
  <c r="AA10" i="1"/>
  <c r="AA19" i="1" l="1"/>
  <c r="AB14" i="1"/>
  <c r="AB48" i="1"/>
  <c r="AB49" i="1"/>
  <c r="AB31" i="1"/>
  <c r="AB42" i="1"/>
  <c r="AA33" i="1"/>
  <c r="AA27" i="1"/>
  <c r="AI51" i="1"/>
  <c r="AI50" i="1"/>
  <c r="AI49" i="1"/>
  <c r="AI47" i="1"/>
  <c r="AI46" i="1"/>
  <c r="AI45" i="1"/>
  <c r="AI41" i="1"/>
  <c r="AI40" i="1"/>
  <c r="AI39" i="1"/>
  <c r="AI38" i="1"/>
  <c r="AE16" i="1" l="1"/>
  <c r="AA29" i="1"/>
  <c r="AA35" i="1" s="1"/>
  <c r="AA16" i="1"/>
  <c r="AA36" i="1" l="1"/>
  <c r="AA44" i="1"/>
  <c r="AA52" i="1" s="1"/>
  <c r="AA53" i="1" l="1"/>
  <c r="F26" i="3"/>
  <c r="F54" i="3"/>
  <c r="F65" i="3" l="1"/>
  <c r="G63" i="12" l="1"/>
  <c r="S23" i="12" l="1"/>
  <c r="W33" i="1" l="1"/>
  <c r="W27" i="1"/>
  <c r="W23" i="1"/>
  <c r="W19" i="1"/>
  <c r="W16" i="1"/>
  <c r="AH27" i="1"/>
  <c r="W29" i="1" l="1"/>
  <c r="W35" i="1" s="1"/>
  <c r="W44" i="1" s="1"/>
  <c r="W52" i="1" s="1"/>
  <c r="W36" i="1" l="1"/>
  <c r="W53" i="1"/>
  <c r="T60" i="12" l="1"/>
  <c r="M53" i="19" l="1"/>
  <c r="S27" i="1" l="1"/>
  <c r="AI27" i="1" s="1"/>
  <c r="Y53" i="1" l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6" i="1"/>
  <c r="Y35" i="1"/>
  <c r="X35" i="1"/>
  <c r="Y33" i="1"/>
  <c r="X33" i="1"/>
  <c r="Y32" i="1"/>
  <c r="X32" i="1"/>
  <c r="Y31" i="1"/>
  <c r="X31" i="1"/>
  <c r="Y29" i="1"/>
  <c r="X29" i="1"/>
  <c r="Y27" i="1"/>
  <c r="X27" i="1"/>
  <c r="Y26" i="1"/>
  <c r="X26" i="1"/>
  <c r="Y25" i="1"/>
  <c r="X25" i="1"/>
  <c r="Y23" i="1"/>
  <c r="X23" i="1"/>
  <c r="Y21" i="1"/>
  <c r="X21" i="1"/>
  <c r="Y19" i="1"/>
  <c r="Y18" i="1"/>
  <c r="X18" i="1"/>
  <c r="Y16" i="1"/>
  <c r="X14" i="1"/>
  <c r="Y13" i="1"/>
  <c r="X13" i="1"/>
  <c r="Y11" i="1"/>
  <c r="Y10" i="1"/>
  <c r="X10" i="1"/>
  <c r="Y8" i="1"/>
  <c r="X8" i="1"/>
  <c r="Y6" i="1"/>
  <c r="X6" i="1"/>
  <c r="Y5" i="1"/>
  <c r="X5" i="1"/>
  <c r="Y4" i="1"/>
  <c r="X4" i="1"/>
  <c r="Y3" i="1"/>
  <c r="X3" i="1"/>
  <c r="V22" i="12" l="1"/>
  <c r="U22" i="12"/>
  <c r="F65" i="12"/>
  <c r="E65" i="12"/>
  <c r="F63" i="12"/>
  <c r="E63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7" i="12"/>
  <c r="E47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4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4" i="12"/>
  <c r="N65" i="12"/>
  <c r="M65" i="12"/>
  <c r="N63" i="12"/>
  <c r="M63" i="12"/>
  <c r="N61" i="12"/>
  <c r="M61" i="12"/>
  <c r="N60" i="12"/>
  <c r="M60" i="12"/>
  <c r="N59" i="12"/>
  <c r="M59" i="12"/>
  <c r="N58" i="12"/>
  <c r="M58" i="12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5" i="12"/>
  <c r="M35" i="12"/>
  <c r="N34" i="12"/>
  <c r="M34" i="12"/>
  <c r="N33" i="12"/>
  <c r="M33" i="12"/>
  <c r="N32" i="12"/>
  <c r="M32" i="12"/>
  <c r="N31" i="12"/>
  <c r="M31" i="12"/>
  <c r="N30" i="12"/>
  <c r="M30" i="12"/>
  <c r="N29" i="12"/>
  <c r="M29" i="12"/>
  <c r="N28" i="12"/>
  <c r="M28" i="12"/>
  <c r="N27" i="12"/>
  <c r="M27" i="12"/>
  <c r="N26" i="12"/>
  <c r="M26" i="12"/>
  <c r="N25" i="12"/>
  <c r="M25" i="12"/>
  <c r="N22" i="12"/>
  <c r="M22" i="12"/>
  <c r="N21" i="12"/>
  <c r="M21" i="12"/>
  <c r="N20" i="12"/>
  <c r="M20" i="12"/>
  <c r="N19" i="12"/>
  <c r="M19" i="12"/>
  <c r="N18" i="12"/>
  <c r="M18" i="12"/>
  <c r="N17" i="12"/>
  <c r="M17" i="12"/>
  <c r="N16" i="12"/>
  <c r="M16" i="12"/>
  <c r="N15" i="12"/>
  <c r="M15" i="12"/>
  <c r="N14" i="12"/>
  <c r="M14" i="12"/>
  <c r="N13" i="12"/>
  <c r="M13" i="12"/>
  <c r="N12" i="12"/>
  <c r="M12" i="12"/>
  <c r="N11" i="12"/>
  <c r="M11" i="12"/>
  <c r="N10" i="12"/>
  <c r="M10" i="12"/>
  <c r="N9" i="12"/>
  <c r="M9" i="12"/>
  <c r="N8" i="12"/>
  <c r="M8" i="12"/>
  <c r="N7" i="12"/>
  <c r="M7" i="12"/>
  <c r="N6" i="12"/>
  <c r="M6" i="12"/>
  <c r="N4" i="12"/>
  <c r="R63" i="12"/>
  <c r="Q63" i="12"/>
  <c r="R59" i="12"/>
  <c r="Q59" i="12"/>
  <c r="R58" i="12"/>
  <c r="Q58" i="12"/>
  <c r="R57" i="12"/>
  <c r="Q57" i="12"/>
  <c r="R56" i="12"/>
  <c r="Q56" i="12"/>
  <c r="R55" i="12"/>
  <c r="Q55" i="12"/>
  <c r="R54" i="12"/>
  <c r="Q54" i="12"/>
  <c r="R53" i="12"/>
  <c r="Q53" i="12"/>
  <c r="R51" i="12"/>
  <c r="Q51" i="12"/>
  <c r="R50" i="12"/>
  <c r="Q50" i="12"/>
  <c r="R49" i="12"/>
  <c r="Q49" i="12"/>
  <c r="R46" i="12"/>
  <c r="Q46" i="12"/>
  <c r="R45" i="12"/>
  <c r="Q45" i="12"/>
  <c r="R44" i="12"/>
  <c r="Q44" i="12"/>
  <c r="R42" i="12"/>
  <c r="Q42" i="12"/>
  <c r="R41" i="12"/>
  <c r="Q41" i="12"/>
  <c r="R40" i="12"/>
  <c r="Q40" i="12"/>
  <c r="R39" i="12"/>
  <c r="Q39" i="12"/>
  <c r="R38" i="12"/>
  <c r="Q38" i="12"/>
  <c r="R35" i="12"/>
  <c r="Q35" i="12"/>
  <c r="R31" i="12"/>
  <c r="Q31" i="12"/>
  <c r="R26" i="12"/>
  <c r="Q26" i="12"/>
  <c r="R25" i="12"/>
  <c r="Q25" i="12"/>
  <c r="R21" i="12"/>
  <c r="Q21" i="12"/>
  <c r="R20" i="12"/>
  <c r="Q20" i="12"/>
  <c r="R19" i="12"/>
  <c r="Q19" i="12"/>
  <c r="R17" i="12"/>
  <c r="Q17" i="12"/>
  <c r="R16" i="12"/>
  <c r="Q16" i="12"/>
  <c r="R15" i="12"/>
  <c r="Q15" i="12"/>
  <c r="R14" i="12"/>
  <c r="Q14" i="12"/>
  <c r="R13" i="12"/>
  <c r="Q13" i="12"/>
  <c r="R12" i="12"/>
  <c r="Q12" i="12"/>
  <c r="R7" i="12"/>
  <c r="Q7" i="12"/>
  <c r="R6" i="12"/>
  <c r="Q6" i="12"/>
  <c r="H63" i="3" l="1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U15" i="12" l="1"/>
  <c r="V15" i="12"/>
  <c r="V45" i="12"/>
  <c r="U45" i="12"/>
  <c r="V17" i="12"/>
  <c r="U17" i="12"/>
  <c r="V56" i="12"/>
  <c r="U56" i="12"/>
  <c r="V10" i="12"/>
  <c r="U10" i="12"/>
  <c r="V18" i="12"/>
  <c r="U18" i="12"/>
  <c r="V49" i="12"/>
  <c r="U49" i="12"/>
  <c r="U57" i="12"/>
  <c r="V57" i="12"/>
  <c r="V14" i="12"/>
  <c r="U14" i="12"/>
  <c r="U53" i="12"/>
  <c r="V53" i="12"/>
  <c r="U16" i="12"/>
  <c r="V16" i="12"/>
  <c r="V55" i="12"/>
  <c r="U55" i="12"/>
  <c r="V11" i="12"/>
  <c r="U11" i="12"/>
  <c r="U58" i="12"/>
  <c r="V58" i="12"/>
  <c r="V6" i="12"/>
  <c r="U6" i="12"/>
  <c r="V43" i="12"/>
  <c r="U43" i="12"/>
  <c r="U44" i="12"/>
  <c r="V44" i="12"/>
  <c r="V8" i="12"/>
  <c r="U8" i="12"/>
  <c r="V9" i="12"/>
  <c r="U9" i="12"/>
  <c r="U19" i="12"/>
  <c r="V19" i="12"/>
  <c r="V50" i="12"/>
  <c r="U50" i="12"/>
  <c r="V12" i="12"/>
  <c r="U12" i="12"/>
  <c r="V20" i="12"/>
  <c r="U20" i="12"/>
  <c r="V51" i="12"/>
  <c r="U51" i="12"/>
  <c r="V59" i="12"/>
  <c r="U59" i="12"/>
  <c r="V7" i="12"/>
  <c r="U7" i="12"/>
  <c r="V54" i="12"/>
  <c r="U54" i="12"/>
  <c r="V13" i="12"/>
  <c r="U13" i="12"/>
  <c r="V21" i="12"/>
  <c r="U21" i="12"/>
  <c r="V52" i="12"/>
  <c r="U52" i="12"/>
  <c r="V63" i="12"/>
  <c r="U63" i="12"/>
  <c r="V25" i="12"/>
  <c r="U25" i="12"/>
  <c r="U35" i="12"/>
  <c r="V35" i="12"/>
  <c r="V33" i="12"/>
  <c r="U33" i="12"/>
  <c r="V26" i="12"/>
  <c r="U26" i="12"/>
  <c r="U27" i="12"/>
  <c r="V27" i="12"/>
  <c r="U38" i="12"/>
  <c r="V38" i="12"/>
  <c r="V29" i="12"/>
  <c r="U29" i="12"/>
  <c r="V39" i="12"/>
  <c r="U39" i="12"/>
  <c r="V30" i="12"/>
  <c r="U30" i="12"/>
  <c r="V31" i="12"/>
  <c r="U31" i="12"/>
  <c r="V41" i="12"/>
  <c r="U41" i="12"/>
  <c r="V34" i="12"/>
  <c r="U34" i="12"/>
  <c r="U28" i="12"/>
  <c r="V28" i="12"/>
  <c r="V40" i="12"/>
  <c r="U40" i="12"/>
  <c r="V32" i="12"/>
  <c r="U32" i="12"/>
  <c r="V42" i="12"/>
  <c r="U42" i="12"/>
  <c r="AI48" i="1" l="1"/>
  <c r="N47" i="12" l="1"/>
  <c r="M47" i="12"/>
  <c r="N23" i="12" l="1"/>
  <c r="M23" i="12"/>
  <c r="N36" i="12" l="1"/>
  <c r="M36" i="12"/>
  <c r="AI43" i="1" l="1"/>
  <c r="AI42" i="1"/>
  <c r="AI15" i="1" l="1"/>
  <c r="S47" i="12" l="1"/>
  <c r="S60" i="12"/>
  <c r="J63" i="12" l="1"/>
  <c r="I63" i="12"/>
  <c r="J65" i="12" l="1"/>
  <c r="I65" i="12"/>
  <c r="V60" i="12"/>
  <c r="U60" i="12"/>
  <c r="AH8" i="1"/>
  <c r="AH10" i="1" s="1"/>
  <c r="AH11" i="1" l="1"/>
  <c r="S33" i="1" l="1"/>
  <c r="T18" i="1"/>
  <c r="U51" i="1" l="1"/>
  <c r="T51" i="1"/>
  <c r="U49" i="1"/>
  <c r="T49" i="1"/>
  <c r="U48" i="1"/>
  <c r="T48" i="1"/>
  <c r="U47" i="1"/>
  <c r="T47" i="1"/>
  <c r="U46" i="1"/>
  <c r="T46" i="1"/>
  <c r="U33" i="1"/>
  <c r="T33" i="1"/>
  <c r="U32" i="1"/>
  <c r="T32" i="1"/>
  <c r="U31" i="1"/>
  <c r="T31" i="1"/>
  <c r="U27" i="1"/>
  <c r="T27" i="1"/>
  <c r="U26" i="1"/>
  <c r="T26" i="1"/>
  <c r="U25" i="1"/>
  <c r="T25" i="1"/>
  <c r="U21" i="1"/>
  <c r="T21" i="1"/>
  <c r="U18" i="1"/>
  <c r="T14" i="1"/>
  <c r="U13" i="1"/>
  <c r="T13" i="1"/>
  <c r="U6" i="1"/>
  <c r="T6" i="1"/>
  <c r="U5" i="1"/>
  <c r="T5" i="1"/>
  <c r="U4" i="1"/>
  <c r="T4" i="1"/>
  <c r="Q52" i="12" l="1"/>
  <c r="R52" i="12"/>
  <c r="R43" i="12"/>
  <c r="Q43" i="12"/>
  <c r="R34" i="12"/>
  <c r="Q34" i="12"/>
  <c r="Q33" i="12"/>
  <c r="R33" i="12"/>
  <c r="Q32" i="12"/>
  <c r="R32" i="12"/>
  <c r="Q29" i="12"/>
  <c r="R29" i="12"/>
  <c r="R28" i="12"/>
  <c r="Q28" i="12"/>
  <c r="R22" i="12"/>
  <c r="Q22" i="12"/>
  <c r="R18" i="12"/>
  <c r="Q18" i="12"/>
  <c r="R11" i="12"/>
  <c r="Q11" i="12"/>
  <c r="R9" i="12"/>
  <c r="Q9" i="12"/>
  <c r="R8" i="12"/>
  <c r="Q8" i="12"/>
  <c r="AG46" i="1"/>
  <c r="AG45" i="1"/>
  <c r="AG43" i="1"/>
  <c r="AF43" i="1"/>
  <c r="AG42" i="1"/>
  <c r="AF40" i="1"/>
  <c r="AG40" i="1"/>
  <c r="AF39" i="1"/>
  <c r="R60" i="12" l="1"/>
  <c r="Q60" i="12"/>
  <c r="R47" i="12"/>
  <c r="Q47" i="12"/>
  <c r="AF6" i="1"/>
  <c r="AF47" i="1"/>
  <c r="AG49" i="1"/>
  <c r="AF38" i="1"/>
  <c r="AG47" i="1"/>
  <c r="AF4" i="1"/>
  <c r="AG6" i="1"/>
  <c r="AF50" i="1"/>
  <c r="AG50" i="1"/>
  <c r="AG4" i="1"/>
  <c r="AF46" i="1"/>
  <c r="AG48" i="1"/>
  <c r="AF3" i="1"/>
  <c r="AG3" i="1"/>
  <c r="AG5" i="1"/>
  <c r="AG39" i="1"/>
  <c r="AG41" i="1"/>
  <c r="AF41" i="1"/>
  <c r="AF5" i="1"/>
  <c r="AF45" i="1"/>
  <c r="AG38" i="1"/>
  <c r="AG8" i="1" l="1"/>
  <c r="AF8" i="1"/>
  <c r="AF10" i="1" l="1"/>
  <c r="AG10" i="1"/>
  <c r="AG11" i="1" l="1"/>
  <c r="AC49" i="1" l="1"/>
  <c r="AC48" i="1"/>
  <c r="AC47" i="1"/>
  <c r="AB47" i="1"/>
  <c r="AC46" i="1"/>
  <c r="AB46" i="1"/>
  <c r="K33" i="19"/>
  <c r="J33" i="19"/>
  <c r="I33" i="19"/>
  <c r="H33" i="19"/>
  <c r="G33" i="19"/>
  <c r="F33" i="19"/>
  <c r="E33" i="19"/>
  <c r="D33" i="19"/>
  <c r="C33" i="19"/>
  <c r="B33" i="19"/>
  <c r="K27" i="19"/>
  <c r="J27" i="19"/>
  <c r="I27" i="19"/>
  <c r="H27" i="19"/>
  <c r="G27" i="19"/>
  <c r="F27" i="19"/>
  <c r="E27" i="19"/>
  <c r="D27" i="19"/>
  <c r="C27" i="19"/>
  <c r="B27" i="19"/>
  <c r="K23" i="19"/>
  <c r="J23" i="19"/>
  <c r="I23" i="19"/>
  <c r="H23" i="19"/>
  <c r="G23" i="19"/>
  <c r="F23" i="19"/>
  <c r="E23" i="19"/>
  <c r="D23" i="19"/>
  <c r="C23" i="19"/>
  <c r="B23" i="19"/>
  <c r="K8" i="19"/>
  <c r="K11" i="19" s="1"/>
  <c r="J8" i="19"/>
  <c r="J11" i="19" s="1"/>
  <c r="I8" i="19"/>
  <c r="I11" i="19" s="1"/>
  <c r="H8" i="19"/>
  <c r="G8" i="19"/>
  <c r="G11" i="19" s="1"/>
  <c r="F8" i="19"/>
  <c r="F11" i="19" s="1"/>
  <c r="E8" i="19"/>
  <c r="E11" i="19" s="1"/>
  <c r="D8" i="19"/>
  <c r="D11" i="19" s="1"/>
  <c r="C8" i="19"/>
  <c r="C11" i="19" s="1"/>
  <c r="B8" i="19"/>
  <c r="B11" i="19" s="1"/>
  <c r="E29" i="19" l="1"/>
  <c r="E35" i="19" s="1"/>
  <c r="E44" i="19" s="1"/>
  <c r="E52" i="19" s="1"/>
  <c r="E53" i="19" s="1"/>
  <c r="H29" i="19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H35" i="19"/>
  <c r="H44" i="19" s="1"/>
  <c r="H52" i="19" s="1"/>
  <c r="H53" i="19" s="1"/>
  <c r="I29" i="19"/>
  <c r="I35" i="19" s="1"/>
  <c r="I44" i="19" s="1"/>
  <c r="I52" i="19" s="1"/>
  <c r="I53" i="19" s="1"/>
  <c r="D29" i="19"/>
  <c r="D35" i="19" s="1"/>
  <c r="D44" i="19" s="1"/>
  <c r="D52" i="19" s="1"/>
  <c r="D53" i="19" s="1"/>
  <c r="F29" i="19"/>
  <c r="F35" i="19" s="1"/>
  <c r="F44" i="19" s="1"/>
  <c r="F52" i="19" s="1"/>
  <c r="F53" i="19" s="1"/>
  <c r="G29" i="19"/>
  <c r="G35" i="19" s="1"/>
  <c r="G44" i="19" s="1"/>
  <c r="G52" i="19" s="1"/>
  <c r="G53" i="19" s="1"/>
  <c r="B29" i="19"/>
  <c r="B35" i="19" s="1"/>
  <c r="B44" i="19" s="1"/>
  <c r="B52" i="19" s="1"/>
  <c r="B53" i="19" s="1"/>
  <c r="J29" i="19"/>
  <c r="J35" i="19" s="1"/>
  <c r="J44" i="19" s="1"/>
  <c r="J52" i="19" s="1"/>
  <c r="J53" i="19" s="1"/>
  <c r="H16" i="19"/>
  <c r="H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AH15" i="1" l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42" i="3" l="1"/>
  <c r="G41" i="3"/>
  <c r="G39" i="3"/>
  <c r="G19" i="3"/>
  <c r="G10" i="3"/>
  <c r="G44" i="3" l="1"/>
  <c r="G65" i="3"/>
  <c r="H19" i="3" l="1"/>
  <c r="H10" i="3"/>
  <c r="H42" i="3" l="1"/>
  <c r="H39" i="3"/>
  <c r="H41" i="3"/>
  <c r="H44" i="3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J73" i="12" l="1"/>
  <c r="V73" i="12"/>
  <c r="I88" i="12" l="1"/>
  <c r="J72" i="12"/>
  <c r="V72" i="12" l="1"/>
  <c r="J71" i="12" l="1"/>
  <c r="J70" i="12"/>
  <c r="V69" i="12" l="1"/>
  <c r="J69" i="12" l="1"/>
  <c r="J74" i="12" l="1"/>
  <c r="J76" i="12"/>
  <c r="AK47" i="1" l="1"/>
  <c r="AK49" i="1"/>
  <c r="AK48" i="1"/>
  <c r="AJ48" i="1"/>
  <c r="AJ51" i="1"/>
  <c r="AK46" i="1"/>
  <c r="AJ46" i="1"/>
  <c r="AJ49" i="1" l="1"/>
  <c r="AJ47" i="1"/>
  <c r="AK51" i="1"/>
  <c r="AF14" i="1" l="1"/>
  <c r="AG14" i="1" l="1"/>
  <c r="V75" i="12" l="1"/>
  <c r="U45" i="1" l="1"/>
  <c r="T45" i="1"/>
  <c r="U43" i="1"/>
  <c r="T43" i="1"/>
  <c r="T39" i="1"/>
  <c r="U39" i="1"/>
  <c r="U50" i="1"/>
  <c r="T50" i="1"/>
  <c r="U41" i="1"/>
  <c r="T41" i="1"/>
  <c r="U42" i="1"/>
  <c r="T42" i="1"/>
  <c r="U38" i="1"/>
  <c r="T38" i="1"/>
  <c r="U40" i="1"/>
  <c r="T40" i="1"/>
  <c r="AB25" i="1" l="1"/>
  <c r="AC25" i="1"/>
  <c r="AB32" i="1"/>
  <c r="AC32" i="1"/>
  <c r="AB26" i="1" l="1"/>
  <c r="AC26" i="1"/>
  <c r="AC31" i="1"/>
  <c r="AB33" i="1" l="1"/>
  <c r="AC33" i="1"/>
  <c r="AC21" i="1" l="1"/>
  <c r="AB21" i="1"/>
  <c r="AB27" i="1" l="1"/>
  <c r="AC27" i="1"/>
  <c r="AB18" i="1" l="1"/>
  <c r="AJ14" i="1"/>
  <c r="AC14" i="1"/>
  <c r="AB13" i="1"/>
  <c r="AC18" i="1" l="1"/>
  <c r="AC13" i="1"/>
  <c r="AF27" i="1" l="1"/>
  <c r="AG27" i="1"/>
  <c r="AF25" i="1"/>
  <c r="AG25" i="1"/>
  <c r="AJ25" i="1"/>
  <c r="AG26" i="1"/>
  <c r="AJ26" i="1"/>
  <c r="AF26" i="1"/>
  <c r="AJ27" i="1" l="1"/>
  <c r="AK26" i="1"/>
  <c r="AK27" i="1"/>
  <c r="AK25" i="1"/>
  <c r="AH33" i="1" l="1"/>
  <c r="S61" i="12" l="1"/>
  <c r="S65" i="12" l="1"/>
  <c r="AC42" i="1" l="1"/>
  <c r="AK42" i="1" l="1"/>
  <c r="AJ42" i="1"/>
  <c r="AK41" i="1"/>
  <c r="AJ41" i="1"/>
  <c r="AC41" i="1"/>
  <c r="AB41" i="1"/>
  <c r="AK40" i="1" l="1"/>
  <c r="AJ40" i="1"/>
  <c r="AC40" i="1"/>
  <c r="AB40" i="1"/>
  <c r="AC39" i="1" l="1"/>
  <c r="AB39" i="1"/>
  <c r="AJ39" i="1" l="1"/>
  <c r="AK39" i="1"/>
  <c r="AC38" i="1" l="1"/>
  <c r="AB38" i="1"/>
  <c r="AJ38" i="1" l="1"/>
  <c r="AK38" i="1"/>
  <c r="AB6" i="1" l="1"/>
  <c r="AC6" i="1"/>
  <c r="AJ6" i="1" l="1"/>
  <c r="AK6" i="1"/>
  <c r="AC5" i="1"/>
  <c r="AB5" i="1"/>
  <c r="AC4" i="1"/>
  <c r="AB4" i="1"/>
  <c r="AJ5" i="1" l="1"/>
  <c r="AK5" i="1"/>
  <c r="AK4" i="1"/>
  <c r="AJ4" i="1"/>
  <c r="AB3" i="1"/>
  <c r="AC3" i="1"/>
  <c r="AC16" i="1" l="1"/>
  <c r="AC19" i="1"/>
  <c r="AB8" i="1"/>
  <c r="AC8" i="1"/>
  <c r="AC50" i="1" l="1"/>
  <c r="AB50" i="1"/>
  <c r="AC11" i="1"/>
  <c r="AB10" i="1"/>
  <c r="AC10" i="1"/>
  <c r="AK50" i="1" l="1"/>
  <c r="AJ50" i="1"/>
  <c r="AC23" i="1"/>
  <c r="AB23" i="1"/>
  <c r="AC29" i="1" l="1"/>
  <c r="AB29" i="1"/>
  <c r="AC36" i="1" l="1"/>
  <c r="AB35" i="1"/>
  <c r="AC35" i="1"/>
  <c r="AC45" i="1" l="1"/>
  <c r="AB45" i="1"/>
  <c r="AB43" i="1"/>
  <c r="AC43" i="1"/>
  <c r="AK45" i="1" l="1"/>
  <c r="AJ45" i="1"/>
  <c r="AK43" i="1"/>
  <c r="AJ43" i="1"/>
  <c r="AC44" i="1"/>
  <c r="AB44" i="1"/>
  <c r="AC53" i="1" l="1"/>
  <c r="AB52" i="1"/>
  <c r="AC52" i="1"/>
  <c r="G31" i="3" l="1"/>
  <c r="H31" i="3"/>
  <c r="F67" i="3" l="1"/>
  <c r="H54" i="3"/>
  <c r="G54" i="3"/>
  <c r="F68" i="3" l="1"/>
  <c r="G67" i="3"/>
  <c r="H67" i="3"/>
  <c r="R10" i="12" l="1"/>
  <c r="Q10" i="12"/>
  <c r="V70" i="12"/>
  <c r="R30" i="12" l="1"/>
  <c r="Q30" i="12"/>
  <c r="V71" i="12" l="1"/>
  <c r="Q27" i="12" l="1"/>
  <c r="R27" i="12"/>
  <c r="V74" i="12"/>
  <c r="V76" i="12"/>
  <c r="S8" i="1" l="1"/>
  <c r="T3" i="1"/>
  <c r="U3" i="1"/>
  <c r="S10" i="1" l="1"/>
  <c r="U10" i="1" s="1"/>
  <c r="S19" i="1"/>
  <c r="U19" i="1" s="1"/>
  <c r="S16" i="1"/>
  <c r="U16" i="1" s="1"/>
  <c r="T8" i="1"/>
  <c r="U8" i="1"/>
  <c r="AJ3" i="1"/>
  <c r="AK3" i="1"/>
  <c r="AI8" i="1"/>
  <c r="T10" i="1" l="1"/>
  <c r="S23" i="1"/>
  <c r="S29" i="1" s="1"/>
  <c r="S11" i="1"/>
  <c r="U11" i="1" s="1"/>
  <c r="AI16" i="1"/>
  <c r="AK8" i="1"/>
  <c r="AI19" i="1"/>
  <c r="AJ8" i="1"/>
  <c r="U23" i="1" l="1"/>
  <c r="T23" i="1"/>
  <c r="S35" i="1"/>
  <c r="U29" i="1"/>
  <c r="T29" i="1"/>
  <c r="S44" i="1" l="1"/>
  <c r="U35" i="1"/>
  <c r="T35" i="1"/>
  <c r="S36" i="1"/>
  <c r="U36" i="1" s="1"/>
  <c r="S52" i="1" l="1"/>
  <c r="T44" i="1"/>
  <c r="U44" i="1"/>
  <c r="T52" i="1" l="1"/>
  <c r="U52" i="1"/>
  <c r="S53" i="1"/>
  <c r="U53" i="1" s="1"/>
  <c r="T23" i="12" l="1"/>
  <c r="V4" i="12"/>
  <c r="U4" i="12"/>
  <c r="T36" i="12" l="1"/>
  <c r="U23" i="12"/>
  <c r="V23" i="12"/>
  <c r="P23" i="12"/>
  <c r="P36" i="12" l="1"/>
  <c r="Q23" i="12"/>
  <c r="R23" i="12"/>
  <c r="V36" i="12"/>
  <c r="U36" i="12"/>
  <c r="P61" i="12" l="1"/>
  <c r="Q36" i="12"/>
  <c r="R36" i="12"/>
  <c r="P65" i="12" l="1"/>
  <c r="Q61" i="12"/>
  <c r="R61" i="12"/>
  <c r="R65" i="12" l="1"/>
  <c r="Q65" i="12"/>
  <c r="AI10" i="1" l="1"/>
  <c r="AG9" i="1"/>
  <c r="AJ10" i="1" l="1"/>
  <c r="AI23" i="1"/>
  <c r="AI11" i="1"/>
  <c r="AK11" i="1" s="1"/>
  <c r="AK10" i="1"/>
  <c r="AE23" i="1"/>
  <c r="AE29" i="1" s="1"/>
  <c r="AJ21" i="1"/>
  <c r="AG21" i="1"/>
  <c r="AK21" i="1"/>
  <c r="AI29" i="1" l="1"/>
  <c r="AF21" i="1"/>
  <c r="AI33" i="1"/>
  <c r="AJ33" i="1" s="1"/>
  <c r="AI35" i="1"/>
  <c r="AE33" i="1"/>
  <c r="AK31" i="1"/>
  <c r="AJ31" i="1"/>
  <c r="AG31" i="1"/>
  <c r="AE35" i="1"/>
  <c r="AG32" i="1"/>
  <c r="AF32" i="1"/>
  <c r="AK32" i="1"/>
  <c r="AJ32" i="1"/>
  <c r="AI36" i="1" l="1"/>
  <c r="AG33" i="1"/>
  <c r="AE36" i="1"/>
  <c r="AK33" i="1"/>
  <c r="AE44" i="1"/>
  <c r="AI44" i="1"/>
  <c r="AF33" i="1"/>
  <c r="AI52" i="1" l="1"/>
  <c r="AE52" i="1"/>
  <c r="AE53" i="1" l="1"/>
  <c r="AG53" i="1" s="1"/>
  <c r="AI53" i="1"/>
  <c r="AG36" i="1"/>
  <c r="AG16" i="1"/>
  <c r="AG44" i="1"/>
  <c r="AF44" i="1"/>
  <c r="AG52" i="1"/>
  <c r="AF52" i="1"/>
  <c r="AF13" i="1"/>
  <c r="AG13" i="1"/>
  <c r="AG29" i="1"/>
  <c r="AF29" i="1"/>
  <c r="AG35" i="1"/>
  <c r="AK13" i="1"/>
  <c r="AF35" i="1"/>
  <c r="AJ13" i="1" l="1"/>
  <c r="AH16" i="1"/>
  <c r="AK16" i="1" s="1"/>
  <c r="AD19" i="1"/>
  <c r="AG19" i="1" s="1"/>
  <c r="AD23" i="1"/>
  <c r="AF23" i="1" s="1"/>
  <c r="AG23" i="1"/>
  <c r="AG18" i="1"/>
  <c r="AF18" i="1"/>
  <c r="AH19" i="1"/>
  <c r="AK19" i="1" s="1"/>
  <c r="AK18" i="1"/>
  <c r="AJ18" i="1" l="1"/>
  <c r="AH29" i="1" l="1"/>
  <c r="AK23" i="1"/>
  <c r="AJ23" i="1"/>
  <c r="AH35" i="1" l="1"/>
  <c r="AJ29" i="1"/>
  <c r="AK29" i="1"/>
  <c r="AK35" i="1" l="1"/>
  <c r="AH44" i="1"/>
  <c r="AJ35" i="1"/>
  <c r="AH36" i="1"/>
  <c r="AK36" i="1" l="1"/>
  <c r="AH52" i="1"/>
  <c r="AJ44" i="1"/>
  <c r="AK44" i="1"/>
  <c r="AK52" i="1" l="1"/>
  <c r="AJ52" i="1"/>
  <c r="AH53" i="1"/>
  <c r="AK53" i="1" l="1"/>
  <c r="T47" i="12"/>
  <c r="U47" i="12" s="1"/>
  <c r="E46" i="12"/>
  <c r="F46" i="12"/>
  <c r="U46" i="12"/>
  <c r="V46" i="12"/>
  <c r="V47" i="12" l="1"/>
  <c r="T61" i="12"/>
  <c r="V61" i="12" l="1"/>
  <c r="T65" i="12"/>
  <c r="U61" i="12"/>
  <c r="V65" i="12" l="1"/>
  <c r="U6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tc={F88EE2BD-79A2-41E9-8FB6-6203FD370738}</author>
  </authors>
  <commentList>
    <comment ref="A9" authorId="0" shapeId="0" xr:uid="{F88EE2BD-79A2-41E9-8FB6-6203FD37073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CMV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<sst xmlns="http://schemas.openxmlformats.org/spreadsheetml/2006/main" count="925" uniqueCount="544">
  <si>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</si>
  <si>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</si>
  <si>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</si>
  <si>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</si>
  <si>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</si>
  <si>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</si>
  <si>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</si>
  <si>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</si>
  <si>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</si>
  <si>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</si>
  <si>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</si>
  <si>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</si>
  <si>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</si>
  <si>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</si>
  <si>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Impairment bens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</si>
  <si>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</si>
  <si>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</si>
  <si>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</si>
  <si>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</si>
  <si>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</si>
  <si>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</si>
  <si>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</si>
  <si>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</si>
  <si>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</si>
  <si>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</si>
  <si>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</si>
  <si>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</si>
  <si>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</si>
  <si>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</si>
  <si>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</si>
  <si>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</si>
  <si>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</si>
  <si>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</si>
  <si>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</si>
  <si>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</si>
  <si>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</si>
  <si>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</si>
  <si>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</si>
  <si>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</si>
  <si>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</si>
  <si>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</si>
  <si>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</si>
  <si>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</si>
  <si>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</si>
  <si>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</si>
  <si>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</si>
  <si>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</si>
  <si>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</si>
  <si>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</si>
  <si>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</si>
  <si>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</si>
  <si>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</si>
  <si>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</si>
  <si>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</si>
  <si>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</si>
  <si>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</si>
  <si>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</si>
  <si>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</si>
  <si>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</si>
  <si>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</si>
  <si>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</si>
  <si>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</si>
  <si>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</si>
  <si>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</si>
  <si>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</si>
  <si>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</si>
  <si>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</si>
  <si>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</si>
  <si>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</si>
  <si>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</si>
  <si>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</si>
  <si>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</si>
  <si>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</si>
  <si>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</si>
  <si>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</si>
  <si>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</si>
  <si>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</si>
  <si>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</si>
  <si>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</si>
  <si>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</si>
  <si>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</si>
  <si>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</si>
  <si>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</si>
  <si>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</si>
  <si>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</si>
  <si>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</si>
  <si>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</si>
  <si>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</si>
  <si>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</si>
  <si>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</si>
  <si>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</si>
  <si>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</si>
  <si>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</si>
  <si>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</si>
  <si>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</si>
  <si>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</si>
  <si>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</si>
  <si>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</si>
  <si>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</si>
  <si>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</si>
  <si>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</si>
  <si>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</si>
  <si>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</si>
  <si>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</si>
  <si>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</si>
  <si>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</si>
  <si>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</si>
  <si>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</si>
  <si>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</si>
  <si>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</si>
  <si>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</si>
  <si>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</si>
  <si>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</si>
  <si>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</si>
  <si>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</si>
  <si>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</si>
  <si>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</si>
  <si>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</si>
  <si>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</si>
  <si>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</si>
  <si>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</si>
  <si>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</si>
  <si>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</si>
  <si>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</si>
  <si>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</si>
  <si>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</si>
  <si>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</si>
  <si>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</si>
  <si>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</si>
  <si>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</si>
  <si>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</si>
  <si>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</si>
  <si>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</si>
  <si>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</si>
  <si>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</si>
  <si>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</si>
  <si>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</si>
  <si>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</si>
  <si>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</si>
  <si>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</si>
  <si>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</si>
  <si>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</si>
  <si>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</si>
  <si>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</si>
  <si>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</si>
  <si>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</si>
  <si>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</si>
  <si>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</si>
  <si>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</si>
  <si>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</si>
  <si>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</si>
  <si>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</si>
  <si>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</si>
  <si>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</si>
  <si>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</si>
  <si>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</si>
  <si>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</si>
  <si>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</si>
  <si>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</si>
  <si>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</si>
  <si>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</si>
  <si>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</si>
  <si>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</si>
  <si>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</si>
  <si>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</si>
  <si>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</si>
  <si>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</si>
  <si>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</si>
  <si>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</si>
  <si>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</si>
  <si>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</si>
  <si>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</si>
  <si>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</si>
  <si>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</si>
  <si>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</si>
  <si>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</si>
  <si>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</si>
  <si>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</si>
  <si>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</si>
  <si>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</si>
  <si>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</si>
  <si>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</si>
  <si>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</si>
  <si>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</si>
  <si>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</si>
  <si>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</si>
  <si>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</si>
  <si>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</si>
  <si>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</si>
  <si>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</si>
  <si>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</si>
  <si>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</si>
  <si>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</si>
  <si>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</si>
  <si>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</si>
  <si>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</si>
  <si>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</si>
  <si>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</si>
  <si>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</si>
  <si>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</si>
  <si>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</si>
  <si>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</si>
  <si>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</si>
  <si>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</si>
  <si>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</si>
  <si>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</si>
  <si>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</si>
  <si>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</si>
  <si>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</si>
  <si>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</si>
  <si>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</si>
  <si>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</si>
  <si>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</si>
  <si>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</si>
  <si>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</si>
  <si>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</si>
  <si>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</si>
  <si>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</si>
  <si>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</si>
  <si>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</si>
  <si>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</si>
  <si>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</si>
  <si>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</si>
  <si>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</si>
  <si>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</si>
  <si>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</si>
  <si>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</si>
  <si>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</si>
  <si>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</si>
  <si>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</si>
  <si>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</si>
  <si>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</si>
  <si>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</si>
  <si>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</si>
  <si>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</si>
  <si>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</si>
  <si>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</si>
  <si>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</si>
  <si>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</si>
  <si>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</si>
  <si>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</si>
  <si>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</si>
  <si>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</si>
  <si>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</si>
  <si>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</si>
  <si>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</si>
  <si>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</si>
  <si>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</si>
  <si>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</si>
  <si>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</si>
  <si>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</si>
  <si>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</si>
  <si>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</si>
  <si>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</si>
  <si>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</si>
  <si>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</si>
  <si>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</si>
  <si>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</si>
  <si>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</si>
  <si>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</si>
  <si>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</si>
  <si>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</si>
  <si>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</si>
  <si>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</si>
  <si>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</si>
  <si>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</si>
  <si>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</si>
  <si>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</si>
  <si>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</si>
  <si>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</si>
  <si>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</si>
  <si>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</si>
  <si>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</si>
  <si>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</si>
  <si>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</si>
  <si>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</si>
  <si>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</si>
  <si>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</si>
  <si>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</si>
  <si>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</si>
  <si>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</si>
  <si>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</si>
  <si>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</si>
  <si>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</si>
  <si>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</si>
  <si>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</si>
  <si>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</si>
  <si>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</si>
  <si>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</si>
  <si>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</si>
  <si>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</si>
  <si>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</si>
  <si>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</si>
  <si>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</si>
  <si>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</si>
  <si>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</si>
  <si>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</si>
  <si>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</si>
  <si>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</si>
  <si>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</si>
  <si>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</si>
  <si>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</si>
  <si>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</si>
  <si>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</si>
  <si>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</si>
  <si>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</si>
  <si>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</si>
  <si>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</si>
  <si>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</si>
  <si>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</si>
  <si>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</si>
  <si>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</si>
  <si>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</si>
  <si>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</si>
  <si>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</si>
  <si>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</si>
  <si>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</si>
  <si>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</si>
  <si>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</si>
  <si>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</si>
  <si>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</si>
  <si>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</si>
  <si>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</si>
  <si>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</si>
  <si>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</si>
  <si>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</si>
  <si>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</si>
  <si>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</si>
  <si>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</si>
  <si>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</si>
  <si>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</si>
  <si>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</si>
  <si>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</si>
  <si>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</si>
  <si>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</si>
  <si>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</si>
  <si>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</si>
  <si>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</si>
  <si>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</si>
  <si>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</si>
  <si>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</si>
  <si>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</si>
  <si>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</si>
  <si>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</si>
  <si>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</si>
  <si>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</si>
  <si>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</si>
  <si>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</si>
  <si>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</si>
  <si>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</si>
  <si>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</si>
  <si>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</si>
  <si>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</si>
  <si>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</si>
  <si>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</si>
  <si>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</si>
  <si>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</si>
  <si>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</si>
  <si>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</si>
  <si>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</si>
  <si>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</si>
  <si>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</si>
  <si>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</si>
  <si>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</si>
  <si>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</si>
  <si>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</si>
  <si>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</si>
  <si>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</si>
  <si>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</si>
  <si>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</si>
  <si>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</si>
  <si>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</si>
  <si>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</si>
  <si>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</si>
  <si>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</si>
  <si>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</si>
  <si>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</si>
  <si>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</si>
  <si>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</si>
  <si>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</si>
  <si>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</si>
  <si>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</si>
  <si>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</si>
  <si>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</si>
  <si>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</si>
  <si>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</si>
  <si>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</si>
  <si>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</si>
  <si>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</si>
  <si>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</si>
  <si>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</si>
  <si>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</si>
  <si>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</si>
  <si>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</si>
  <si>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</si>
  <si>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</si>
  <si>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</si>
  <si>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</si>
  <si>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</si>
  <si>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</si>
  <si>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</si>
  <si>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</si>
  <si>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</si>
  <si>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</si>
  <si>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</si>
  <si>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</si>
  <si>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</si>
  <si>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Balanço Patrimonial (R$ mil)</t>
  </si>
  <si>
    <t>Caixa e equivalentes de caixa</t>
  </si>
  <si>
    <t>Caixa Restrito</t>
  </si>
  <si>
    <t>Títulos e valores mobiliários</t>
  </si>
  <si>
    <t>Contas a receber de clientes</t>
  </si>
  <si>
    <t>Estoques</t>
  </si>
  <si>
    <t>IR/CSL a recuperar</t>
  </si>
  <si>
    <t>Instrumentos financeiros derivativos</t>
  </si>
  <si>
    <t xml:space="preserve">Ativos mantidos para venda </t>
  </si>
  <si>
    <t>Depósitos Vinculados</t>
  </si>
  <si>
    <t>Adiantamento a fornecedores</t>
  </si>
  <si>
    <t>Investimentos</t>
  </si>
  <si>
    <t>Intangível</t>
  </si>
  <si>
    <t>Imobilizado</t>
  </si>
  <si>
    <t>Valor a pagar por aquisição das ações preferenciais  FIP</t>
  </si>
  <si>
    <t>Empréstimos</t>
  </si>
  <si>
    <t>Imposto de renda e contribuição social diferidos</t>
  </si>
  <si>
    <t>Valor a pagar por aquisição de participação de não controladores</t>
  </si>
  <si>
    <t>Dividendos a pagar</t>
  </si>
  <si>
    <t xml:space="preserve">Provisão para honorários de êxito </t>
  </si>
  <si>
    <t>Valor a pagar por aquisição de participação societária</t>
  </si>
  <si>
    <t>Total do passivo</t>
  </si>
  <si>
    <t>Patrimônio líquido atribuído aos acionistas da controladora</t>
  </si>
  <si>
    <t>Ações em Tesouraria</t>
  </si>
  <si>
    <t>Dividendo adicional proposto</t>
  </si>
  <si>
    <t>Total do passivo e patrimônio líquido</t>
  </si>
  <si>
    <t>Fluxo de Caixa (R$ mil)</t>
  </si>
  <si>
    <t>Amortização de ágio</t>
  </si>
  <si>
    <t>Provisão para valor recuperável de estoques</t>
  </si>
  <si>
    <t>Baixa de contas a receber por execução de garantia sem geração de caixa</t>
  </si>
  <si>
    <t>Provisão (reversão) para contingências</t>
  </si>
  <si>
    <t>Redução (aumento) de títulos e valores mobiliários</t>
  </si>
  <si>
    <t>Redução (aumento) de contas a receber</t>
  </si>
  <si>
    <t>Aumento (redução) em salários e encargos sociais a pagar</t>
  </si>
  <si>
    <t>Caixa líquido (aplicado nas) gerado pelas atividades operacionais</t>
  </si>
  <si>
    <t>Reversão do ágio em aquisição de participação societária</t>
  </si>
  <si>
    <t>Aquisição de participação de não controladores</t>
  </si>
  <si>
    <t>Aquisição de participação societária</t>
  </si>
  <si>
    <t>Valor recebido pela venda de imobilizado</t>
  </si>
  <si>
    <t>Compras de ativos intangíveis</t>
  </si>
  <si>
    <t>Indenizações recebidas</t>
  </si>
  <si>
    <t>Caixa líquido (aplicado nas) gerado pelas atividades de investimento</t>
  </si>
  <si>
    <t xml:space="preserve">Aquisição de ações próprias mantidas em tesouraria </t>
  </si>
  <si>
    <t>Valor recebido pela emissão de ações ordinárias</t>
  </si>
  <si>
    <t>Pagamentos de empréstimos</t>
  </si>
  <si>
    <t>Dividendos pagos aos acionistas não controladores</t>
  </si>
  <si>
    <t>Caixa líquido gerado (aplicado) nas atividades de financiamento</t>
  </si>
  <si>
    <t>Caixa e equivalentes de caixa no início do período</t>
  </si>
  <si>
    <t>Caixa e equivalentes de caixa no final do período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</si>
  <si>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</si>
  <si>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</si>
  <si>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</si>
  <si>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</si>
  <si>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</si>
  <si>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</si>
  <si>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</si>
  <si>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Receita Operacional Bruta</t>
  </si>
  <si>
    <t>Ajuste a Valor Presente sobre a Receita</t>
  </si>
  <si>
    <t>Imposto sobre Vendas</t>
  </si>
  <si>
    <t>Ajuste a Valor Presente sobre os Impostos</t>
  </si>
  <si>
    <t>Receita Operacional Líquida</t>
  </si>
  <si>
    <t>Provisão por redução a valor recuperável de contas a receber</t>
  </si>
  <si>
    <t>Perda do contas a receber</t>
  </si>
  <si>
    <t>% da Receita Líquida</t>
  </si>
  <si>
    <t>Despesas Administrativas</t>
  </si>
  <si>
    <t>Outras Contas, Líquidas</t>
  </si>
  <si>
    <t>Lucro Operacional</t>
  </si>
  <si>
    <t>Despesas Financeiras</t>
  </si>
  <si>
    <t>Receitas Financeiras</t>
  </si>
  <si>
    <t>Resultado Financeiro Líquido</t>
  </si>
  <si>
    <t>Lucro antes do IR e CSLL</t>
  </si>
  <si>
    <t>Corrente</t>
  </si>
  <si>
    <t>Diferido</t>
  </si>
  <si>
    <t>Imposto de Renda e Contribuição Social</t>
  </si>
  <si>
    <t>Lucro Líquido</t>
  </si>
  <si>
    <t>Receitas Financeiras sem AVP</t>
  </si>
  <si>
    <t>Receitas Financeiras do AVP</t>
  </si>
  <si>
    <t>Impostos Correntes</t>
  </si>
  <si>
    <t>Impostos Diferidos</t>
  </si>
  <si>
    <t>Provisão para Contingências Não Recorrentes</t>
  </si>
  <si>
    <t>Outros Não-Recorrentes</t>
  </si>
  <si>
    <t>Recuperação Escrow</t>
  </si>
  <si>
    <t>Realização de Valor Justo do Estoque da Dumont</t>
  </si>
  <si>
    <t>ESOP</t>
  </si>
  <si>
    <t>Impacto do AVP sobre Resultado Operacional</t>
  </si>
  <si>
    <t>Impactos Extraordinários</t>
  </si>
  <si>
    <t>EBITDA Ajustado</t>
  </si>
  <si>
    <t>Margem Ebitda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</si>
  <si>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</si>
  <si>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</si>
  <si>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</si>
  <si>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</si>
  <si>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</si>
  <si>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</si>
  <si>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</si>
  <si>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</si>
  <si>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</si>
  <si>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</si>
  <si>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</si>
  <si>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</si>
  <si>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</si>
  <si>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</si>
  <si>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</si>
  <si>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</si>
  <si>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</si>
  <si>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</si>
  <si>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</si>
  <si>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</si>
  <si>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</si>
  <si>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</si>
  <si>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</si>
  <si>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</si>
  <si>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</si>
  <si>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</si>
  <si>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</si>
  <si>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</si>
  <si>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</si>
  <si>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</si>
  <si>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</si>
  <si>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</si>
  <si>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</si>
  <si>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</si>
  <si>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</si>
  <si>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</si>
  <si>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</si>
  <si>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</si>
  <si>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</si>
  <si>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</si>
  <si>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1T25</t>
  </si>
  <si>
    <t>2T25</t>
  </si>
  <si>
    <t>3T25</t>
  </si>
  <si>
    <t>4T25</t>
  </si>
  <si>
    <t>Aumento (redução) em impostos, taxas e contribuições sociais a pagar e a recuperar</t>
  </si>
  <si>
    <t>1T26</t>
  </si>
  <si>
    <t>2T26</t>
  </si>
  <si>
    <t>3T26</t>
  </si>
  <si>
    <t>4T26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</si>
</sst>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6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14" fontId="7" fillId="2" borderId="16" xfId="0" applyNumberFormat="1" applyFont="1" applyFill="1" applyBorder="1" applyAlignment="1">
      <alignment horizontal="center"/>
    </xf>
    <xf numFmtId="4" fontId="70" fillId="3" borderId="0" xfId="0" applyNumberFormat="1" applyFont="1" applyFill="1" applyAlignment="1">
      <alignment horizontal="right"/>
    </xf>
    <xf numFmtId="211" fontId="3" fillId="0" borderId="13" xfId="1" applyNumberFormat="1" applyFont="1" applyFill="1" applyBorder="1" applyAlignment="1">
      <alignment horizontal="right"/>
    </xf>
    <xf numFmtId="211" fontId="76" fillId="0" borderId="0" xfId="0" applyNumberFormat="1" applyFont="1"/>
    <xf numFmtId="211" fontId="3" fillId="0" borderId="0" xfId="0" applyNumberFormat="1" applyFont="1"/>
    <xf numFmtId="172" fontId="3" fillId="3" borderId="0" xfId="1" applyNumberFormat="1" applyFont="1" applyFill="1" applyAlignment="1">
      <alignment horizontal="right"/>
    </xf>
    <xf numFmtId="172" fontId="3" fillId="7" borderId="0" xfId="1" applyNumberFormat="1" applyFont="1" applyFill="1"/>
    <xf numFmtId="172" fontId="3" fillId="3" borderId="0" xfId="1" applyNumberFormat="1" applyFont="1" applyFill="1"/>
    <xf numFmtId="169" fontId="8" fillId="0" borderId="0" xfId="1" applyNumberFormat="1" applyFont="1" applyFill="1" applyBorder="1" applyAlignment="1">
      <alignment horizontal="right"/>
    </xf>
    <xf numFmtId="211" fontId="8" fillId="3" borderId="5" xfId="1" applyNumberFormat="1" applyFont="1" applyFill="1" applyBorder="1" applyAlignment="1">
      <alignment horizontal="right"/>
    </xf>
    <xf numFmtId="0" fontId="61" fillId="0" borderId="14" xfId="0" applyFont="1" applyBorder="1" applyAlignment="1">
      <alignment horizontal="right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61" fillId="0" borderId="0" xfId="0" applyFont="1"/>
    <xf numFmtId="0" fontId="61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266700</xdr:rowOff>
    </xdr:from>
    <xdr:to>
      <xdr:col>37</xdr:col>
      <xdr:colOff>0</xdr:colOff>
      <xdr:row>0</xdr:row>
      <xdr:rowOff>1162049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12701" y="266700"/>
          <a:ext cx="9004299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7056</xdr:rowOff>
    </xdr:from>
    <xdr:to>
      <xdr:col>8</xdr:col>
      <xdr:colOff>26651</xdr:colOff>
      <xdr:row>1</xdr:row>
      <xdr:rowOff>26106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7056"/>
          <a:ext cx="7724262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14111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0082389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19242</xdr:colOff>
      <xdr:row>0</xdr:row>
      <xdr:rowOff>0</xdr:rowOff>
    </xdr:from>
    <xdr:to>
      <xdr:col>16</xdr:col>
      <xdr:colOff>6413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19242" y="0"/>
          <a:ext cx="15028333" cy="1485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-fs01\Arquivos\Departamental\RI\RI\Resultados\2026\1TRI\DFs%2031-03-26%20v2.xlsx" TargetMode="External"/><Relationship Id="rId1" Type="http://schemas.openxmlformats.org/officeDocument/2006/relationships/externalLinkPath" Target="DFs%2031-03-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Ajuste FECH5"/>
      <sheetName val="DMPL"/>
      <sheetName val="DFC"/>
      <sheetName val="DFC1"/>
      <sheetName val="DVA"/>
      <sheetName val="Movimentações"/>
      <sheetName val="TBE"/>
      <sheetName val="BD emprest"/>
      <sheetName val="TBIRCSL"/>
      <sheetName val="IRCSL"/>
      <sheetName val="Arrend"/>
      <sheetName val="ArrendLeas F"/>
      <sheetName val="Ajuste"/>
      <sheetName val="Planilha1"/>
    </sheetNames>
    <sheetDataSet>
      <sheetData sheetId="0">
        <row r="8">
          <cell r="G8">
            <v>25454</v>
          </cell>
          <cell r="P8">
            <v>11819</v>
          </cell>
        </row>
        <row r="9">
          <cell r="G9">
            <v>202619</v>
          </cell>
          <cell r="P9">
            <v>58789</v>
          </cell>
        </row>
        <row r="10">
          <cell r="P10">
            <v>204</v>
          </cell>
        </row>
        <row r="11">
          <cell r="G11">
            <v>180957</v>
          </cell>
          <cell r="P11">
            <v>7838</v>
          </cell>
        </row>
        <row r="12">
          <cell r="G12">
            <v>11851</v>
          </cell>
          <cell r="P12">
            <v>2428</v>
          </cell>
        </row>
        <row r="13">
          <cell r="G13">
            <v>6981</v>
          </cell>
          <cell r="P13">
            <v>10648</v>
          </cell>
        </row>
        <row r="14">
          <cell r="G14">
            <v>26</v>
          </cell>
          <cell r="P14">
            <v>10154</v>
          </cell>
        </row>
        <row r="15">
          <cell r="G15">
            <v>102</v>
          </cell>
          <cell r="P15">
            <v>0</v>
          </cell>
        </row>
        <row r="16">
          <cell r="G16">
            <v>16243</v>
          </cell>
        </row>
        <row r="17">
          <cell r="P17">
            <v>8643</v>
          </cell>
        </row>
        <row r="18">
          <cell r="P18">
            <v>1312</v>
          </cell>
        </row>
        <row r="19">
          <cell r="P19"/>
        </row>
        <row r="20">
          <cell r="P20"/>
        </row>
        <row r="21">
          <cell r="P21">
            <v>11621</v>
          </cell>
        </row>
        <row r="24">
          <cell r="G24">
            <v>0</v>
          </cell>
        </row>
        <row r="25">
          <cell r="P25">
            <v>30844</v>
          </cell>
        </row>
        <row r="26">
          <cell r="P26">
            <v>31362</v>
          </cell>
        </row>
        <row r="27">
          <cell r="P27">
            <v>51662</v>
          </cell>
        </row>
        <row r="28">
          <cell r="P28">
            <v>996</v>
          </cell>
        </row>
        <row r="29">
          <cell r="P29"/>
        </row>
        <row r="31">
          <cell r="P31"/>
        </row>
        <row r="32">
          <cell r="G32"/>
          <cell r="P32"/>
        </row>
        <row r="33">
          <cell r="P33">
            <v>2546</v>
          </cell>
        </row>
        <row r="34">
          <cell r="P34">
            <v>1709</v>
          </cell>
        </row>
        <row r="35">
          <cell r="G35">
            <v>3357</v>
          </cell>
          <cell r="P35"/>
        </row>
        <row r="37">
          <cell r="G37"/>
        </row>
        <row r="38">
          <cell r="G38">
            <v>10904</v>
          </cell>
        </row>
        <row r="39">
          <cell r="G39"/>
        </row>
        <row r="42">
          <cell r="P42">
            <v>130583</v>
          </cell>
        </row>
        <row r="43">
          <cell r="P43">
            <v>-7893</v>
          </cell>
        </row>
        <row r="44">
          <cell r="P44">
            <v>-10870</v>
          </cell>
        </row>
        <row r="45">
          <cell r="P45">
            <v>115575</v>
          </cell>
        </row>
        <row r="46">
          <cell r="P46">
            <v>-14129</v>
          </cell>
        </row>
        <row r="47">
          <cell r="G47">
            <v>192175</v>
          </cell>
          <cell r="P47">
            <v>9</v>
          </cell>
        </row>
        <row r="48">
          <cell r="G48">
            <v>29805</v>
          </cell>
          <cell r="P48">
            <v>167567</v>
          </cell>
        </row>
        <row r="49">
          <cell r="P49">
            <v>50570</v>
          </cell>
        </row>
        <row r="50">
          <cell r="P50">
            <v>0</v>
          </cell>
        </row>
        <row r="51">
          <cell r="P51">
            <v>6487</v>
          </cell>
        </row>
      </sheetData>
      <sheetData sheetId="1"/>
      <sheetData sheetId="2"/>
      <sheetData sheetId="3"/>
      <sheetData sheetId="4"/>
      <sheetData sheetId="5">
        <row r="1">
          <cell r="A1" t="str">
            <v>Technos S.A.</v>
          </cell>
        </row>
        <row r="2">
          <cell r="A2" t="str">
            <v>Períodos findos  em 31 de março de 2026 e 2025</v>
          </cell>
        </row>
        <row r="3">
          <cell r="A3"/>
          <cell r="B3"/>
          <cell r="C3" t="str">
            <v>Controladora</v>
          </cell>
          <cell r="D3"/>
          <cell r="E3"/>
          <cell r="F3"/>
          <cell r="G3" t="str">
            <v>Consolidado</v>
          </cell>
          <cell r="H3"/>
        </row>
        <row r="4">
          <cell r="A4"/>
          <cell r="B4"/>
          <cell r="C4"/>
          <cell r="D4"/>
          <cell r="E4"/>
          <cell r="F4"/>
          <cell r="G4"/>
          <cell r="H4"/>
        </row>
        <row r="5">
          <cell r="A5"/>
          <cell r="B5"/>
          <cell r="C5">
            <v>46112</v>
          </cell>
          <cell r="D5"/>
          <cell r="E5">
            <v>45747</v>
          </cell>
          <cell r="F5"/>
          <cell r="G5">
            <v>46112</v>
          </cell>
          <cell r="H5"/>
        </row>
        <row r="6">
          <cell r="A6"/>
          <cell r="B6"/>
          <cell r="C6"/>
          <cell r="D6"/>
          <cell r="E6"/>
          <cell r="F6"/>
          <cell r="G6"/>
          <cell r="H6"/>
        </row>
        <row r="7">
          <cell r="A7" t="str">
            <v>Fluxos de caixa das atividades operacionais</v>
          </cell>
          <cell r="B7"/>
          <cell r="C7"/>
          <cell r="D7"/>
          <cell r="E7"/>
          <cell r="F7"/>
          <cell r="G7"/>
          <cell r="H7"/>
        </row>
        <row r="8">
          <cell r="A8" t="str">
            <v>Lucro antes do Imposto de renda e da contribuição social</v>
          </cell>
          <cell r="B8"/>
          <cell r="C8">
            <v>6487</v>
          </cell>
          <cell r="D8"/>
          <cell r="E8">
            <v>4485</v>
          </cell>
          <cell r="F8"/>
          <cell r="G8">
            <v>7007</v>
          </cell>
          <cell r="H8"/>
        </row>
        <row r="9">
          <cell r="A9"/>
          <cell r="B9"/>
          <cell r="C9"/>
          <cell r="D9"/>
          <cell r="E9"/>
          <cell r="F9"/>
          <cell r="G9"/>
          <cell r="H9"/>
        </row>
        <row r="10">
          <cell r="A10" t="str">
            <v>Ajuste de itens que não afetam o caixa</v>
          </cell>
          <cell r="B10"/>
          <cell r="C10"/>
          <cell r="D10"/>
          <cell r="E10"/>
          <cell r="F10"/>
          <cell r="G10"/>
          <cell r="H10"/>
        </row>
        <row r="11">
          <cell r="A11" t="str">
            <v>Amortização e depreciação</v>
          </cell>
          <cell r="B11"/>
          <cell r="C11"/>
          <cell r="D11"/>
          <cell r="E11"/>
          <cell r="F11"/>
          <cell r="G11">
            <v>3244</v>
          </cell>
          <cell r="H11"/>
        </row>
        <row r="12">
          <cell r="A12" t="str">
            <v>Provisão (reversão) para valor recuperável de estoques</v>
          </cell>
          <cell r="B12"/>
          <cell r="C12"/>
          <cell r="D12"/>
          <cell r="E12"/>
          <cell r="F12"/>
          <cell r="G12">
            <v>1636</v>
          </cell>
          <cell r="H12"/>
        </row>
        <row r="13">
          <cell r="A13" t="str">
            <v>Reversão de provisão de estoque por baixa</v>
          </cell>
          <cell r="B13"/>
          <cell r="C13"/>
          <cell r="D13"/>
          <cell r="E13"/>
          <cell r="F13"/>
          <cell r="G13">
            <v>0</v>
          </cell>
          <cell r="H13"/>
        </row>
        <row r="14">
          <cell r="A14" t="str">
            <v>Provisão (reversão) para valor recuperável de contas a receber</v>
          </cell>
          <cell r="B14"/>
          <cell r="C14"/>
          <cell r="D14"/>
          <cell r="E14"/>
          <cell r="F14"/>
          <cell r="G14">
            <v>2159</v>
          </cell>
          <cell r="H14"/>
        </row>
        <row r="15">
          <cell r="A15" t="str">
            <v>Baixa de contas a receber sem geração de caixa</v>
          </cell>
          <cell r="B15"/>
          <cell r="C15"/>
          <cell r="D15"/>
          <cell r="E15"/>
          <cell r="F15"/>
          <cell r="G15">
            <v>0</v>
          </cell>
          <cell r="H15"/>
        </row>
        <row r="16">
          <cell r="A16" t="str">
            <v>Ajuste a valor de mercado em ativos não circulantes disponíveis para venda</v>
          </cell>
          <cell r="B16"/>
          <cell r="C16"/>
          <cell r="D16"/>
          <cell r="E16"/>
          <cell r="F16"/>
          <cell r="G16">
            <v>0</v>
          </cell>
          <cell r="H16"/>
        </row>
        <row r="17">
          <cell r="A17" t="str">
            <v>Provisão para contingências</v>
          </cell>
          <cell r="B17"/>
          <cell r="C17"/>
          <cell r="D17"/>
          <cell r="E17"/>
          <cell r="F17"/>
          <cell r="G17">
            <v>431</v>
          </cell>
          <cell r="H17"/>
        </row>
        <row r="18">
          <cell r="A18" t="str">
            <v>Resultado na venda de ativos permanentes</v>
          </cell>
          <cell r="B18"/>
          <cell r="C18"/>
          <cell r="D18"/>
          <cell r="E18"/>
          <cell r="F18"/>
          <cell r="G18">
            <v>-182</v>
          </cell>
          <cell r="H18"/>
        </row>
        <row r="19">
          <cell r="A19" t="str">
            <v>Provisão para redução ao valor recuperável do ágio (impairment)</v>
          </cell>
          <cell r="B19"/>
          <cell r="C19"/>
          <cell r="D19"/>
          <cell r="E19"/>
          <cell r="F19"/>
          <cell r="G19">
            <v>0</v>
          </cell>
          <cell r="H19"/>
        </row>
        <row r="20">
          <cell r="A20" t="str">
            <v>Impairment (reversão) de bens do ativo imobilizado e intangivel</v>
          </cell>
          <cell r="B20"/>
          <cell r="C20"/>
          <cell r="D20"/>
          <cell r="E20"/>
          <cell r="F20"/>
          <cell r="G20">
            <v>0</v>
          </cell>
          <cell r="H20"/>
        </row>
        <row r="21">
          <cell r="A21" t="str">
            <v>Equivalência patrimonial</v>
          </cell>
          <cell r="B21"/>
          <cell r="C21">
            <v>-7323</v>
          </cell>
          <cell r="D21"/>
          <cell r="E21">
            <v>-5405</v>
          </cell>
          <cell r="F21"/>
          <cell r="G21"/>
          <cell r="H21"/>
        </row>
        <row r="22">
          <cell r="A22" t="str">
            <v>Juros sobre empréstimos</v>
          </cell>
          <cell r="B22"/>
          <cell r="C22"/>
          <cell r="D22"/>
          <cell r="E22"/>
          <cell r="F22"/>
          <cell r="G22">
            <v>922</v>
          </cell>
          <cell r="H22"/>
        </row>
        <row r="23">
          <cell r="A23" t="str">
            <v>Instrumentos financeiros derivativos</v>
          </cell>
          <cell r="B23"/>
          <cell r="C23"/>
          <cell r="D23"/>
          <cell r="E23"/>
          <cell r="F23"/>
          <cell r="G23">
            <v>6145</v>
          </cell>
          <cell r="H23"/>
        </row>
        <row r="24">
          <cell r="A24" t="str">
            <v>Outras despesas de juros e variação cambial</v>
          </cell>
          <cell r="B24"/>
          <cell r="C24"/>
          <cell r="D24"/>
          <cell r="E24"/>
          <cell r="F24"/>
          <cell r="G24">
            <v>-2650</v>
          </cell>
          <cell r="H24"/>
        </row>
        <row r="25">
          <cell r="A25" t="str">
            <v>Prêmio de opção de ações</v>
          </cell>
          <cell r="B25"/>
          <cell r="C25">
            <v>79</v>
          </cell>
          <cell r="D25"/>
          <cell r="E25">
            <v>178</v>
          </cell>
          <cell r="F25"/>
          <cell r="G25">
            <v>1132</v>
          </cell>
          <cell r="H25"/>
        </row>
        <row r="26">
          <cell r="A26" t="str">
            <v>Outros</v>
          </cell>
          <cell r="B26"/>
          <cell r="C26"/>
          <cell r="D26"/>
          <cell r="E26"/>
          <cell r="F26"/>
          <cell r="G26">
            <v>293</v>
          </cell>
          <cell r="H26"/>
        </row>
        <row r="27">
          <cell r="A27"/>
          <cell r="B27"/>
          <cell r="C27">
            <v>-757</v>
          </cell>
          <cell r="D27"/>
          <cell r="E27">
            <v>-742</v>
          </cell>
          <cell r="F27"/>
          <cell r="G27">
            <v>20137</v>
          </cell>
          <cell r="H27"/>
        </row>
        <row r="28">
          <cell r="A28"/>
          <cell r="B28"/>
          <cell r="C28"/>
          <cell r="D28"/>
          <cell r="E28"/>
          <cell r="F28"/>
          <cell r="G28"/>
          <cell r="H28"/>
        </row>
        <row r="29">
          <cell r="A29" t="str">
            <v>Variações nos ativos e passivos</v>
          </cell>
          <cell r="B29"/>
          <cell r="C29"/>
          <cell r="D29"/>
          <cell r="E29"/>
          <cell r="F29"/>
          <cell r="G29"/>
          <cell r="H29"/>
        </row>
        <row r="30">
          <cell r="A30" t="str">
            <v>Redução de contas a receber</v>
          </cell>
          <cell r="B30"/>
          <cell r="C30">
            <v>0</v>
          </cell>
          <cell r="D30"/>
          <cell r="E30">
            <v>0</v>
          </cell>
          <cell r="F30"/>
          <cell r="G30">
            <v>24943</v>
          </cell>
          <cell r="H30"/>
        </row>
        <row r="31">
          <cell r="A31" t="str">
            <v>Redução (aumento) nos estoques</v>
          </cell>
          <cell r="B31"/>
          <cell r="C31">
            <v>0</v>
          </cell>
          <cell r="D31"/>
          <cell r="E31">
            <v>0</v>
          </cell>
          <cell r="F31"/>
          <cell r="G31">
            <v>-28499</v>
          </cell>
          <cell r="H31"/>
        </row>
        <row r="32">
          <cell r="A32" t="str">
            <v>Redução (aumento) nos impostos a recuperar</v>
          </cell>
          <cell r="B32"/>
          <cell r="C32">
            <v>-2</v>
          </cell>
          <cell r="D32"/>
          <cell r="E32">
            <v>-3</v>
          </cell>
          <cell r="F32"/>
          <cell r="G32">
            <v>-1533</v>
          </cell>
          <cell r="H32"/>
        </row>
        <row r="33">
          <cell r="A33" t="str">
            <v>Redução (aumento) nos outros ativos</v>
          </cell>
          <cell r="B33"/>
          <cell r="C33">
            <v>-467</v>
          </cell>
          <cell r="D33"/>
          <cell r="E33">
            <v>-667</v>
          </cell>
          <cell r="F33"/>
          <cell r="G33">
            <v>-98</v>
          </cell>
          <cell r="H33"/>
        </row>
        <row r="34">
          <cell r="A34" t="str">
            <v>Aumento (redução) em fornecedores e contas a pagar</v>
          </cell>
          <cell r="B34"/>
          <cell r="C34">
            <v>9068</v>
          </cell>
          <cell r="D34"/>
          <cell r="E34">
            <v>5469</v>
          </cell>
          <cell r="F34"/>
          <cell r="G34">
            <v>3682</v>
          </cell>
          <cell r="H34"/>
        </row>
        <row r="35">
          <cell r="A35" t="str">
            <v>Aumento (redução) em salários e encargos sociais pagar</v>
          </cell>
          <cell r="B35"/>
          <cell r="C35">
            <v>-6</v>
          </cell>
          <cell r="D35"/>
          <cell r="E35">
            <v>2</v>
          </cell>
          <cell r="F35"/>
          <cell r="G35">
            <v>-4915</v>
          </cell>
          <cell r="H35"/>
        </row>
        <row r="36">
          <cell r="A36" t="str">
            <v>Aumento (redução) em impostos, taxas e contribuições sociais a pagar e a recuperar</v>
          </cell>
          <cell r="B36"/>
          <cell r="C36">
            <v>7</v>
          </cell>
          <cell r="D36"/>
          <cell r="E36">
            <v>3</v>
          </cell>
          <cell r="F36"/>
          <cell r="G36">
            <v>3772</v>
          </cell>
          <cell r="H36"/>
        </row>
        <row r="37">
          <cell r="A37"/>
          <cell r="B37"/>
          <cell r="C37">
            <v>7843</v>
          </cell>
          <cell r="D37"/>
          <cell r="E37">
            <v>4062</v>
          </cell>
          <cell r="F37"/>
          <cell r="G37">
            <v>17489</v>
          </cell>
          <cell r="H37"/>
        </row>
        <row r="38">
          <cell r="A38"/>
          <cell r="B38"/>
          <cell r="C38"/>
          <cell r="D38"/>
          <cell r="E38"/>
          <cell r="F38"/>
          <cell r="G38"/>
          <cell r="H38"/>
        </row>
        <row r="39">
          <cell r="A39" t="str">
            <v>IR/CSL DIFERIDOS</v>
          </cell>
          <cell r="B39"/>
          <cell r="C39"/>
          <cell r="D39"/>
          <cell r="E39"/>
          <cell r="F39"/>
          <cell r="G39"/>
          <cell r="H39"/>
        </row>
        <row r="40">
          <cell r="A40" t="str">
            <v>Dividendos recebidos</v>
          </cell>
          <cell r="B40"/>
          <cell r="C40">
            <v>15000</v>
          </cell>
          <cell r="D40"/>
          <cell r="E40">
            <v>15150</v>
          </cell>
          <cell r="F40"/>
          <cell r="G40"/>
          <cell r="H40"/>
        </row>
        <row r="41">
          <cell r="A41" t="str">
            <v>Juros pagos</v>
          </cell>
          <cell r="B41"/>
          <cell r="C41"/>
          <cell r="D41"/>
          <cell r="E41"/>
          <cell r="F41"/>
          <cell r="G41">
            <v>-604</v>
          </cell>
          <cell r="H41"/>
        </row>
        <row r="42">
          <cell r="A42" t="str">
            <v>Imposto de renda e contribuição social pagos</v>
          </cell>
          <cell r="B42"/>
          <cell r="C42"/>
          <cell r="D42"/>
          <cell r="E42"/>
          <cell r="F42"/>
          <cell r="G42">
            <v>-72</v>
          </cell>
          <cell r="H42"/>
        </row>
        <row r="43">
          <cell r="A43"/>
          <cell r="B43"/>
          <cell r="C43"/>
          <cell r="D43"/>
          <cell r="E43"/>
          <cell r="F43"/>
          <cell r="G43"/>
          <cell r="H43"/>
        </row>
        <row r="44">
          <cell r="A44" t="str">
            <v>Caixa líquido gerado pelas (aplicado nas) atividades operacionais</v>
          </cell>
          <cell r="B44"/>
          <cell r="C44">
            <v>22843</v>
          </cell>
          <cell r="D44"/>
          <cell r="E44">
            <v>19212</v>
          </cell>
          <cell r="F44"/>
          <cell r="G44">
            <v>16813</v>
          </cell>
          <cell r="H44"/>
        </row>
        <row r="45">
          <cell r="A45"/>
          <cell r="B45"/>
          <cell r="C45"/>
          <cell r="D45"/>
          <cell r="E45"/>
          <cell r="F45"/>
          <cell r="G45"/>
          <cell r="H45"/>
        </row>
        <row r="46">
          <cell r="A46" t="str">
            <v>Fluxos de caixa das atividades de investimento</v>
          </cell>
          <cell r="B46"/>
          <cell r="C46"/>
          <cell r="D46"/>
          <cell r="E46"/>
          <cell r="F46"/>
          <cell r="G46"/>
          <cell r="H46"/>
        </row>
        <row r="47">
          <cell r="A47"/>
          <cell r="B47"/>
          <cell r="C47"/>
          <cell r="D47"/>
          <cell r="E47"/>
          <cell r="F47"/>
          <cell r="G47"/>
          <cell r="H47"/>
        </row>
        <row r="48">
          <cell r="A48" t="str">
            <v>Dividendos recebidos</v>
          </cell>
          <cell r="B48"/>
          <cell r="C48"/>
          <cell r="D48"/>
          <cell r="E48"/>
          <cell r="F48"/>
          <cell r="G48"/>
          <cell r="H48"/>
        </row>
        <row r="49">
          <cell r="A49" t="str">
            <v>Aquisição de participação societária</v>
          </cell>
          <cell r="B49"/>
          <cell r="C49"/>
          <cell r="D49"/>
          <cell r="E49"/>
          <cell r="F49"/>
          <cell r="G49"/>
          <cell r="H49"/>
        </row>
        <row r="50">
          <cell r="A50" t="str">
            <v>Reversão de ágio em aquisição de participação societária</v>
          </cell>
          <cell r="B50"/>
          <cell r="C50"/>
          <cell r="D50"/>
          <cell r="E50"/>
          <cell r="F50"/>
          <cell r="G50"/>
          <cell r="H50"/>
        </row>
        <row r="51">
          <cell r="A51" t="str">
            <v>Indenização recebida em aquisição de participação societária</v>
          </cell>
          <cell r="B51"/>
          <cell r="C51"/>
          <cell r="D51"/>
          <cell r="E51"/>
          <cell r="F51"/>
          <cell r="G51"/>
          <cell r="H51"/>
        </row>
        <row r="52">
          <cell r="A52" t="str">
            <v>Ativos incorporados de controladas</v>
          </cell>
          <cell r="B52"/>
          <cell r="C52"/>
          <cell r="D52"/>
          <cell r="E52"/>
          <cell r="F52"/>
          <cell r="G52"/>
          <cell r="H52"/>
        </row>
        <row r="53">
          <cell r="A53" t="str">
            <v xml:space="preserve">Aumento e integralização de capital em empresa controlada </v>
          </cell>
          <cell r="B53"/>
          <cell r="C53"/>
          <cell r="D53"/>
          <cell r="E53"/>
          <cell r="F53"/>
          <cell r="G53"/>
          <cell r="H53"/>
        </row>
        <row r="54">
          <cell r="A54" t="str">
            <v>Caixa restrito</v>
          </cell>
          <cell r="B54"/>
          <cell r="C54"/>
          <cell r="D54"/>
          <cell r="E54"/>
          <cell r="F54"/>
          <cell r="G54">
            <v>0</v>
          </cell>
          <cell r="H54"/>
        </row>
        <row r="55">
          <cell r="A55" t="str">
            <v>Resgate (aplicações) de títulos e valores mobiliários</v>
          </cell>
          <cell r="B55"/>
          <cell r="C55"/>
          <cell r="D55"/>
          <cell r="E55"/>
          <cell r="F55"/>
          <cell r="G55"/>
          <cell r="H55"/>
        </row>
        <row r="56">
          <cell r="A56"/>
          <cell r="B56"/>
          <cell r="C56"/>
          <cell r="D56"/>
          <cell r="E56"/>
          <cell r="F56"/>
          <cell r="G56"/>
          <cell r="H56"/>
        </row>
        <row r="57">
          <cell r="A57" t="str">
            <v>Compras de imobilizado</v>
          </cell>
          <cell r="B57"/>
          <cell r="C57"/>
          <cell r="D57"/>
          <cell r="E57"/>
          <cell r="F57"/>
          <cell r="G57">
            <v>-4101</v>
          </cell>
          <cell r="H57"/>
        </row>
        <row r="58">
          <cell r="A58" t="str">
            <v>Valor recebido pela venda de imobilizado e ativos destinados a venda</v>
          </cell>
          <cell r="B58"/>
          <cell r="C58"/>
          <cell r="D58"/>
          <cell r="E58"/>
          <cell r="F58"/>
          <cell r="G58">
            <v>587</v>
          </cell>
          <cell r="H58"/>
        </row>
        <row r="59">
          <cell r="A59" t="str">
            <v>Compra de ativos intangíveis</v>
          </cell>
          <cell r="B59"/>
          <cell r="C59"/>
          <cell r="D59"/>
          <cell r="E59"/>
          <cell r="F59"/>
          <cell r="G59">
            <v>-892</v>
          </cell>
          <cell r="H59"/>
        </row>
        <row r="60">
          <cell r="A60" t="str">
            <v>Aumento e integralização de capital em investida</v>
          </cell>
          <cell r="B60"/>
          <cell r="C60"/>
          <cell r="D60"/>
          <cell r="E60"/>
          <cell r="F60"/>
          <cell r="G60"/>
          <cell r="H60"/>
        </row>
        <row r="61">
          <cell r="A61" t="str">
            <v xml:space="preserve">Dividendos recebidos </v>
          </cell>
          <cell r="B61"/>
          <cell r="C61"/>
          <cell r="D61"/>
          <cell r="E61"/>
          <cell r="F61"/>
          <cell r="G61"/>
          <cell r="H61"/>
        </row>
        <row r="62">
          <cell r="A62"/>
          <cell r="B62"/>
          <cell r="C62"/>
          <cell r="D62"/>
          <cell r="E62"/>
          <cell r="F62"/>
          <cell r="G62"/>
          <cell r="H62"/>
        </row>
        <row r="63">
          <cell r="A63" t="str">
            <v>Caixa líquido aplicado nas atividades de investimento</v>
          </cell>
          <cell r="B63"/>
          <cell r="C63">
            <v>0</v>
          </cell>
          <cell r="D63"/>
          <cell r="E63">
            <v>0</v>
          </cell>
          <cell r="F63"/>
          <cell r="G63">
            <v>-4406</v>
          </cell>
          <cell r="H63"/>
        </row>
        <row r="64">
          <cell r="A64"/>
          <cell r="B64"/>
          <cell r="C64"/>
          <cell r="D64"/>
          <cell r="E64"/>
          <cell r="F64"/>
          <cell r="G64"/>
          <cell r="H64"/>
        </row>
        <row r="65">
          <cell r="A65" t="str">
            <v>Fluxos de caixa das atividades de financiamento</v>
          </cell>
          <cell r="B65"/>
          <cell r="C65"/>
          <cell r="D65"/>
          <cell r="E65"/>
          <cell r="F65"/>
          <cell r="G65"/>
          <cell r="H65"/>
        </row>
        <row r="66">
          <cell r="A66" t="str">
            <v>Aquisição de participação societária</v>
          </cell>
          <cell r="B66"/>
          <cell r="C66"/>
          <cell r="D66"/>
          <cell r="E66"/>
          <cell r="F66"/>
          <cell r="G66"/>
          <cell r="H66"/>
        </row>
        <row r="67">
          <cell r="A67" t="str">
            <v>Depósitos vinculados em garantia a empréstimos - caixa restrito</v>
          </cell>
          <cell r="B67"/>
          <cell r="C67"/>
          <cell r="D67"/>
          <cell r="E67"/>
          <cell r="F67"/>
          <cell r="G67">
            <v>1020</v>
          </cell>
          <cell r="H67"/>
        </row>
        <row r="68">
          <cell r="A68" t="str">
            <v>Integralização de capital</v>
          </cell>
          <cell r="B68"/>
          <cell r="C68"/>
          <cell r="D68"/>
          <cell r="E68"/>
          <cell r="F68"/>
          <cell r="G68"/>
          <cell r="H68"/>
        </row>
        <row r="69">
          <cell r="A69" t="str">
            <v>Empréstimos</v>
          </cell>
          <cell r="B69"/>
          <cell r="C69"/>
          <cell r="D69"/>
          <cell r="E69"/>
          <cell r="F69"/>
          <cell r="G69">
            <v>0</v>
          </cell>
          <cell r="H69"/>
        </row>
        <row r="70">
          <cell r="A70" t="str">
            <v>Empréstimos pagos</v>
          </cell>
          <cell r="B70"/>
          <cell r="C70"/>
          <cell r="D70"/>
          <cell r="E70"/>
          <cell r="F70"/>
          <cell r="G70">
            <v>-2066</v>
          </cell>
          <cell r="H70"/>
        </row>
        <row r="71">
          <cell r="A71" t="str">
            <v>Aquisição de ações próprias mantidas em tesouraria</v>
          </cell>
          <cell r="B71"/>
          <cell r="C71">
            <v>-7867</v>
          </cell>
          <cell r="D71"/>
          <cell r="E71">
            <v>-4225</v>
          </cell>
          <cell r="F71"/>
          <cell r="G71">
            <v>-7867</v>
          </cell>
          <cell r="H71"/>
        </row>
        <row r="72">
          <cell r="A72" t="str">
            <v>Arrendamento contratado</v>
          </cell>
          <cell r="B72"/>
          <cell r="C72"/>
          <cell r="D72"/>
          <cell r="E72"/>
          <cell r="F72"/>
          <cell r="G72"/>
          <cell r="H72"/>
        </row>
        <row r="73">
          <cell r="A73" t="str">
            <v>Arrendamento pago</v>
          </cell>
          <cell r="B73"/>
          <cell r="C73"/>
          <cell r="D73"/>
          <cell r="E73"/>
          <cell r="F73"/>
          <cell r="G73">
            <v>-318</v>
          </cell>
          <cell r="H73"/>
        </row>
        <row r="74">
          <cell r="A74" t="str">
            <v>Dividendos pagos aos acionistas da Companhia</v>
          </cell>
          <cell r="B74"/>
          <cell r="C74">
            <v>-14986</v>
          </cell>
          <cell r="D74"/>
          <cell r="E74">
            <v>-14987</v>
          </cell>
          <cell r="F74"/>
          <cell r="G74">
            <v>-14986</v>
          </cell>
          <cell r="H74"/>
        </row>
        <row r="75">
          <cell r="A75" t="str">
            <v>Exercício de plano de opção - Stock Option</v>
          </cell>
          <cell r="B75"/>
          <cell r="C75">
            <v>0</v>
          </cell>
          <cell r="D75"/>
          <cell r="E75">
            <v>0</v>
          </cell>
          <cell r="F75"/>
          <cell r="G75">
            <v>0</v>
          </cell>
          <cell r="H75"/>
        </row>
        <row r="76">
          <cell r="A76" t="str">
            <v>Caixa líquido aplicado nas atividades de financiamento</v>
          </cell>
          <cell r="B76"/>
          <cell r="C76">
            <v>-22853</v>
          </cell>
          <cell r="D76"/>
          <cell r="E76">
            <v>-19212</v>
          </cell>
          <cell r="F76"/>
          <cell r="G76">
            <v>-24217</v>
          </cell>
          <cell r="H76"/>
        </row>
        <row r="77">
          <cell r="A77"/>
          <cell r="B77"/>
          <cell r="C77"/>
          <cell r="D77"/>
          <cell r="E77"/>
          <cell r="F77"/>
          <cell r="G77"/>
          <cell r="H77"/>
        </row>
        <row r="78">
          <cell r="A78" t="str">
            <v>Aumento (redução) de caixa e equivalentes de caixa</v>
          </cell>
          <cell r="B78"/>
          <cell r="C78">
            <v>-10</v>
          </cell>
          <cell r="D78"/>
          <cell r="E78">
            <v>0</v>
          </cell>
          <cell r="F78"/>
          <cell r="G78">
            <v>-11810</v>
          </cell>
          <cell r="H78"/>
        </row>
        <row r="79">
          <cell r="A79"/>
          <cell r="B79"/>
          <cell r="C79"/>
          <cell r="D79"/>
          <cell r="E79"/>
          <cell r="F79"/>
          <cell r="G79"/>
          <cell r="H79"/>
        </row>
        <row r="80">
          <cell r="A80" t="str">
            <v>Caixa e equivalentes de caixa no início do período (nota 7)</v>
          </cell>
          <cell r="B80"/>
          <cell r="C80">
            <v>12</v>
          </cell>
          <cell r="D80"/>
          <cell r="E80">
            <v>7</v>
          </cell>
          <cell r="F80"/>
          <cell r="G80">
            <v>37264</v>
          </cell>
          <cell r="H80"/>
        </row>
        <row r="81">
          <cell r="A81"/>
          <cell r="B81"/>
          <cell r="C81"/>
          <cell r="D81"/>
          <cell r="E81"/>
          <cell r="F81"/>
          <cell r="G81"/>
          <cell r="H81"/>
        </row>
        <row r="82">
          <cell r="A82" t="str">
            <v>Caixa e equivalentes de caixa no final do período (nota 7)</v>
          </cell>
          <cell r="B82"/>
          <cell r="C82">
            <v>2</v>
          </cell>
          <cell r="D82"/>
          <cell r="E82">
            <v>7</v>
          </cell>
          <cell r="F82"/>
          <cell r="G82">
            <v>25454</v>
          </cell>
          <cell r="H82"/>
        </row>
        <row r="83">
          <cell r="C83"/>
          <cell r="D83"/>
          <cell r="E83"/>
          <cell r="F83"/>
          <cell r="G83"/>
          <cell r="H83"/>
        </row>
        <row r="84">
          <cell r="C84">
            <v>0</v>
          </cell>
          <cell r="D84"/>
          <cell r="E84"/>
          <cell r="F84"/>
          <cell r="G84">
            <v>0</v>
          </cell>
          <cell r="H84"/>
        </row>
        <row r="85">
          <cell r="C85"/>
          <cell r="D85"/>
          <cell r="E85"/>
          <cell r="F85"/>
          <cell r="G85"/>
          <cell r="H85"/>
        </row>
        <row r="86">
          <cell r="C86"/>
          <cell r="D86"/>
          <cell r="E86"/>
          <cell r="F86"/>
          <cell r="G86"/>
          <cell r="H86"/>
        </row>
        <row r="87">
          <cell r="C87"/>
          <cell r="D87"/>
          <cell r="E87"/>
          <cell r="F87"/>
          <cell r="G87"/>
          <cell r="H87"/>
        </row>
        <row r="88">
          <cell r="C88"/>
          <cell r="D88"/>
          <cell r="E88"/>
          <cell r="F88"/>
          <cell r="G88"/>
          <cell r="H88"/>
        </row>
        <row r="89">
          <cell r="C89"/>
          <cell r="D89"/>
          <cell r="E89"/>
          <cell r="F89"/>
          <cell r="G89"/>
          <cell r="H89"/>
        </row>
        <row r="90">
          <cell r="C90"/>
          <cell r="D90"/>
          <cell r="E90"/>
          <cell r="F90"/>
          <cell r="G90"/>
          <cell r="H90"/>
        </row>
        <row r="91">
          <cell r="C91"/>
          <cell r="D91"/>
          <cell r="E91"/>
          <cell r="F91"/>
          <cell r="G91"/>
          <cell r="H91"/>
        </row>
        <row r="92">
          <cell r="C92"/>
          <cell r="D92"/>
          <cell r="E92"/>
          <cell r="F92"/>
          <cell r="G92"/>
          <cell r="H92"/>
        </row>
        <row r="93">
          <cell r="C93"/>
          <cell r="D93"/>
          <cell r="E93"/>
          <cell r="F93"/>
          <cell r="G93"/>
          <cell r="H93"/>
        </row>
        <row r="94">
          <cell r="A94"/>
          <cell r="C94"/>
          <cell r="D94"/>
          <cell r="E94"/>
          <cell r="F94"/>
          <cell r="G94"/>
          <cell r="H94"/>
        </row>
        <row r="95">
          <cell r="A95"/>
          <cell r="C95"/>
          <cell r="D95"/>
          <cell r="E95"/>
          <cell r="F95"/>
          <cell r="G95"/>
          <cell r="H95"/>
        </row>
        <row r="96">
          <cell r="A96"/>
          <cell r="C96"/>
          <cell r="D96"/>
          <cell r="E96"/>
          <cell r="F96"/>
          <cell r="G96"/>
          <cell r="H96"/>
        </row>
        <row r="97">
          <cell r="A97"/>
          <cell r="C97"/>
          <cell r="D97"/>
          <cell r="E97"/>
          <cell r="F97"/>
          <cell r="G97"/>
          <cell r="H97"/>
        </row>
        <row r="98">
          <cell r="A98"/>
          <cell r="C98"/>
          <cell r="D98"/>
          <cell r="E98"/>
          <cell r="F98"/>
          <cell r="G98"/>
          <cell r="H98"/>
        </row>
        <row r="99">
          <cell r="A99"/>
          <cell r="C99"/>
          <cell r="D99"/>
          <cell r="E99"/>
          <cell r="F99"/>
          <cell r="G99"/>
          <cell r="H99"/>
        </row>
        <row r="100">
          <cell r="A100"/>
          <cell r="C100"/>
          <cell r="D100"/>
          <cell r="E100"/>
          <cell r="F100"/>
          <cell r="G100"/>
          <cell r="H100"/>
        </row>
        <row r="101">
          <cell r="A101"/>
          <cell r="C101"/>
          <cell r="D101"/>
          <cell r="E101"/>
          <cell r="F101"/>
          <cell r="G101"/>
          <cell r="H101"/>
        </row>
        <row r="102">
          <cell r="A102"/>
          <cell r="C102"/>
          <cell r="D102"/>
          <cell r="E102"/>
          <cell r="F102"/>
          <cell r="G102"/>
          <cell r="H102"/>
        </row>
        <row r="103">
          <cell r="A103"/>
          <cell r="C103"/>
          <cell r="D103"/>
          <cell r="E103"/>
          <cell r="F103"/>
          <cell r="G103"/>
          <cell r="H103"/>
        </row>
        <row r="104">
          <cell r="A104"/>
          <cell r="C104"/>
          <cell r="D104"/>
          <cell r="E104"/>
          <cell r="F104"/>
          <cell r="G104"/>
          <cell r="H104"/>
        </row>
        <row r="105">
          <cell r="A105"/>
          <cell r="C105"/>
          <cell r="D105"/>
          <cell r="E105"/>
          <cell r="F105"/>
          <cell r="G105"/>
          <cell r="H105"/>
        </row>
        <row r="106">
          <cell r="A106"/>
          <cell r="C106"/>
          <cell r="D106"/>
          <cell r="E106"/>
          <cell r="F106"/>
          <cell r="G106"/>
          <cell r="H106"/>
        </row>
        <row r="107">
          <cell r="A107"/>
          <cell r="C107"/>
          <cell r="D107"/>
          <cell r="E107"/>
          <cell r="F107"/>
          <cell r="G107"/>
          <cell r="H107"/>
        </row>
        <row r="108">
          <cell r="A108"/>
          <cell r="C108"/>
          <cell r="D108"/>
          <cell r="E108"/>
          <cell r="F108"/>
          <cell r="G108"/>
          <cell r="H108"/>
        </row>
        <row r="109">
          <cell r="C109"/>
          <cell r="D109"/>
          <cell r="E109"/>
          <cell r="F109"/>
          <cell r="G109"/>
          <cell r="H109"/>
        </row>
        <row r="110">
          <cell r="C110"/>
          <cell r="D110"/>
          <cell r="E110"/>
          <cell r="F110"/>
          <cell r="G110"/>
          <cell r="H110"/>
        </row>
        <row r="111">
          <cell r="C111"/>
          <cell r="D111"/>
          <cell r="E111"/>
          <cell r="F111"/>
          <cell r="G111"/>
          <cell r="H111"/>
        </row>
        <row r="112">
          <cell r="C112"/>
          <cell r="D112"/>
          <cell r="E112"/>
          <cell r="F112"/>
          <cell r="G112"/>
          <cell r="H112"/>
        </row>
        <row r="113">
          <cell r="C113"/>
          <cell r="D113"/>
          <cell r="E113"/>
          <cell r="F113"/>
          <cell r="G113"/>
          <cell r="H113"/>
        </row>
        <row r="114">
          <cell r="C114"/>
          <cell r="D114"/>
          <cell r="E114"/>
          <cell r="F114"/>
          <cell r="G114"/>
          <cell r="H114"/>
        </row>
        <row r="115">
          <cell r="C115"/>
          <cell r="D115"/>
          <cell r="E115"/>
          <cell r="F115"/>
          <cell r="G115"/>
          <cell r="H115"/>
        </row>
        <row r="116">
          <cell r="C116"/>
          <cell r="D116"/>
          <cell r="E116"/>
          <cell r="F116"/>
          <cell r="G116"/>
          <cell r="H116"/>
        </row>
        <row r="117">
          <cell r="C117"/>
          <cell r="D117"/>
          <cell r="E117"/>
          <cell r="F117"/>
          <cell r="G117"/>
          <cell r="H117"/>
        </row>
        <row r="118">
          <cell r="C118"/>
          <cell r="D118"/>
          <cell r="E118"/>
          <cell r="F118"/>
          <cell r="G118"/>
          <cell r="H118"/>
        </row>
        <row r="119">
          <cell r="C119"/>
          <cell r="D119"/>
          <cell r="E119"/>
          <cell r="F119"/>
          <cell r="G119"/>
          <cell r="H119"/>
        </row>
        <row r="120">
          <cell r="C120"/>
          <cell r="D120"/>
          <cell r="E120"/>
          <cell r="F120"/>
          <cell r="G120"/>
          <cell r="H120"/>
        </row>
        <row r="121">
          <cell r="C121"/>
          <cell r="D121"/>
          <cell r="E121"/>
          <cell r="F121"/>
          <cell r="G121"/>
          <cell r="H121"/>
        </row>
        <row r="122">
          <cell r="C122"/>
          <cell r="D122"/>
          <cell r="E122"/>
          <cell r="F122"/>
          <cell r="G122"/>
          <cell r="H122"/>
        </row>
        <row r="123">
          <cell r="C123"/>
          <cell r="D123"/>
          <cell r="E123"/>
          <cell r="F123"/>
          <cell r="G123"/>
          <cell r="H123"/>
        </row>
        <row r="124">
          <cell r="C124"/>
          <cell r="D124"/>
          <cell r="E124"/>
          <cell r="F124"/>
          <cell r="G124"/>
          <cell r="H124"/>
        </row>
        <row r="125">
          <cell r="C125"/>
          <cell r="D125"/>
          <cell r="E125"/>
          <cell r="F125"/>
          <cell r="G125"/>
          <cell r="H125"/>
        </row>
        <row r="126">
          <cell r="C126"/>
          <cell r="D126"/>
          <cell r="E126"/>
          <cell r="F126"/>
          <cell r="G126"/>
          <cell r="H126"/>
        </row>
        <row r="127">
          <cell r="G127"/>
        </row>
        <row r="128">
          <cell r="A128"/>
          <cell r="B128"/>
          <cell r="C128"/>
          <cell r="D128"/>
          <cell r="E128"/>
          <cell r="F128"/>
          <cell r="G128"/>
          <cell r="H128"/>
        </row>
        <row r="129">
          <cell r="A129"/>
          <cell r="B129"/>
          <cell r="C129"/>
          <cell r="D129"/>
          <cell r="E129"/>
          <cell r="F129"/>
          <cell r="G129"/>
          <cell r="H129"/>
        </row>
        <row r="131">
          <cell r="G131"/>
        </row>
        <row r="132">
          <cell r="G132"/>
        </row>
        <row r="133">
          <cell r="G133"/>
        </row>
        <row r="134">
          <cell r="G134"/>
        </row>
        <row r="135">
          <cell r="C135"/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as de Souza Gonçalves Vieira" id="{100A62A3-A899-4147-BFE5-341E9694FB10}" userId="S::lucasvieira@grupotechnos.com.br::fb1fe7b2-45ca-4dfd-a9e9-eacb7f85fa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3-10-26T14:26:00.01" personId="{100A62A3-A899-4147-BFE5-341E9694FB10}" id="{F88EE2BD-79A2-41E9-8FB6-6203FD370738}">
    <text>CMV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5"/>
  <cols>
    <col min="1" max="1" width="43.54296875" bestFit="1" customWidth="1"/>
    <col min="2" max="2" width="1.90625" customWidth="1"/>
    <col min="3" max="3" width="14.08984375" bestFit="1" customWidth="1"/>
    <col min="4" max="4" width="1.08984375" customWidth="1"/>
    <col min="5" max="5" width="14.90625" customWidth="1"/>
    <col min="6" max="6" width="5.453125" bestFit="1" customWidth="1"/>
    <col min="7" max="7" width="13.90625" customWidth="1"/>
    <col min="8" max="8" width="2.54296875" customWidth="1"/>
    <col min="9" max="9" width="10.54296875" customWidth="1"/>
    <col min="10" max="10" width="11.08984375" customWidth="1"/>
    <col min="11" max="11" width="47.453125" bestFit="1" customWidth="1"/>
    <col min="12" max="12" width="13.90625" bestFit="1" customWidth="1"/>
    <col min="13" max="13" width="2.08984375" customWidth="1"/>
    <col min="14" max="14" width="11.08984375" bestFit="1" customWidth="1"/>
    <col min="15" max="15" width="2" customWidth="1"/>
    <col min="16" max="16" width="13.90625" bestFit="1" customWidth="1"/>
    <col min="17" max="17" width="1.90625" customWidth="1"/>
    <col min="18" max="18" width="11.08984375" bestFit="1" customWidth="1"/>
    <col min="19" max="19" width="13.08984375" customWidth="1"/>
  </cols>
  <sheetData>
    <row r="1" spans="1:23" ht="15" thickBot="1">
      <c r="A1" s="201"/>
      <c r="B1" s="201"/>
      <c r="C1" s="405" t="s">
        <v>264</v>
      </c>
      <c r="D1" s="405"/>
      <c r="E1" s="405"/>
      <c r="F1" s="201"/>
      <c r="G1" s="405" t="s">
        <v>265</v>
      </c>
      <c r="H1" s="405"/>
      <c r="I1" s="405"/>
      <c r="J1" s="50"/>
      <c r="K1" s="201"/>
      <c r="L1" s="405" t="s">
        <v>264</v>
      </c>
      <c r="M1" s="405"/>
      <c r="N1" s="405"/>
      <c r="O1" s="201"/>
      <c r="P1" s="405" t="s">
        <v>265</v>
      </c>
      <c r="Q1" s="405"/>
      <c r="R1" s="405"/>
      <c r="S1" s="202"/>
    </row>
    <row r="2" spans="1:23">
      <c r="A2" s="201"/>
      <c r="B2" s="201"/>
      <c r="C2" s="201"/>
      <c r="D2" s="206"/>
      <c r="E2" s="201"/>
      <c r="F2" s="201"/>
      <c r="G2" s="201"/>
      <c r="H2" s="206"/>
      <c r="I2" s="201"/>
      <c r="J2" s="50"/>
      <c r="K2" s="201"/>
      <c r="L2" s="201"/>
      <c r="M2" s="201"/>
      <c r="N2" s="201"/>
      <c r="O2" s="201"/>
      <c r="P2" s="201"/>
      <c r="Q2" s="222"/>
      <c r="R2" s="201"/>
      <c r="S2" s="222"/>
    </row>
    <row r="3" spans="1:23" ht="15" customHeight="1">
      <c r="A3" s="410" t="s">
        <v>30</v>
      </c>
      <c r="B3" s="408"/>
      <c r="C3" s="277" t="s">
        <v>400</v>
      </c>
      <c r="D3" s="408"/>
      <c r="E3" s="406" t="s">
        <v>292</v>
      </c>
      <c r="F3" s="408"/>
      <c r="G3" s="277" t="s">
        <v>400</v>
      </c>
      <c r="H3" s="408"/>
      <c r="I3" s="406" t="s">
        <v>292</v>
      </c>
      <c r="J3" s="409"/>
      <c r="K3" s="410" t="s">
        <v>39</v>
      </c>
      <c r="L3" s="277" t="s">
        <v>291</v>
      </c>
      <c r="M3" s="408"/>
      <c r="N3" s="406" t="s">
        <v>292</v>
      </c>
      <c r="O3" s="408"/>
      <c r="P3" s="277" t="s">
        <v>291</v>
      </c>
      <c r="Q3" s="408"/>
      <c r="R3" s="406" t="s">
        <v>292</v>
      </c>
      <c r="S3" s="411"/>
    </row>
    <row r="4" spans="1:23" ht="21" customHeight="1" thickBot="1">
      <c r="A4" s="410"/>
      <c r="B4" s="408"/>
      <c r="C4" s="278" t="s">
        <v>293</v>
      </c>
      <c r="D4" s="408"/>
      <c r="E4" s="407"/>
      <c r="F4" s="408"/>
      <c r="G4" s="278" t="s">
        <v>293</v>
      </c>
      <c r="H4" s="408"/>
      <c r="I4" s="407"/>
      <c r="J4" s="409"/>
      <c r="K4" s="410"/>
      <c r="L4" s="278" t="s">
        <v>293</v>
      </c>
      <c r="M4" s="408"/>
      <c r="N4" s="407"/>
      <c r="O4" s="408"/>
      <c r="P4" s="278" t="s">
        <v>293</v>
      </c>
      <c r="Q4" s="408"/>
      <c r="R4" s="407"/>
      <c r="S4" s="411"/>
    </row>
    <row r="5" spans="1:23">
      <c r="A5" s="201"/>
      <c r="B5" s="201"/>
      <c r="C5" s="201"/>
      <c r="D5" s="201"/>
      <c r="E5" s="201"/>
      <c r="F5" s="201"/>
      <c r="G5" s="201"/>
      <c r="H5" s="201"/>
      <c r="I5" s="201"/>
      <c r="J5" s="50"/>
      <c r="K5" s="201"/>
      <c r="L5" s="201"/>
      <c r="M5" s="201"/>
      <c r="N5" s="201"/>
      <c r="O5" s="201"/>
      <c r="P5" s="201"/>
      <c r="Q5" s="50"/>
      <c r="R5" s="201"/>
      <c r="S5" s="222"/>
    </row>
    <row r="6" spans="1:23">
      <c r="A6" s="201"/>
      <c r="B6" s="201"/>
      <c r="C6" s="201"/>
      <c r="D6" s="201"/>
      <c r="E6" s="201"/>
      <c r="F6" s="201"/>
      <c r="G6" s="201"/>
      <c r="H6" s="201"/>
      <c r="I6" s="201"/>
      <c r="J6" s="50"/>
      <c r="K6" s="201"/>
      <c r="L6" s="201"/>
      <c r="M6" s="201"/>
      <c r="N6" s="201"/>
      <c r="O6" s="201"/>
      <c r="P6" s="201"/>
      <c r="Q6" s="50"/>
      <c r="R6" s="201"/>
      <c r="S6" s="222"/>
    </row>
    <row r="7" spans="1:23">
      <c r="A7" s="206" t="s">
        <v>31</v>
      </c>
      <c r="B7" s="201"/>
      <c r="C7" s="201"/>
      <c r="D7" s="201"/>
      <c r="E7" s="201"/>
      <c r="F7" s="201"/>
      <c r="G7" s="201"/>
      <c r="H7" s="201"/>
      <c r="I7" s="201"/>
      <c r="J7" s="50"/>
      <c r="K7" s="206" t="s">
        <v>31</v>
      </c>
      <c r="L7" s="201"/>
      <c r="M7" s="201"/>
      <c r="N7" s="201"/>
      <c r="O7" s="201"/>
      <c r="P7" s="201"/>
      <c r="Q7" s="50"/>
      <c r="R7" s="201"/>
      <c r="S7" s="222"/>
    </row>
    <row r="8" spans="1:23">
      <c r="A8" s="206" t="s">
        <v>294</v>
      </c>
      <c r="B8" s="201"/>
      <c r="C8" s="279">
        <v>65</v>
      </c>
      <c r="D8" s="201"/>
      <c r="E8" s="279">
        <v>61</v>
      </c>
      <c r="F8" s="291">
        <v>-4</v>
      </c>
      <c r="G8" s="295">
        <v>27648</v>
      </c>
      <c r="H8" s="201"/>
      <c r="I8" s="279">
        <v>46343</v>
      </c>
      <c r="J8" s="293">
        <v>16954</v>
      </c>
      <c r="K8" s="206" t="s">
        <v>295</v>
      </c>
      <c r="L8" s="280"/>
      <c r="M8" s="206"/>
      <c r="N8" s="281"/>
      <c r="O8" s="292">
        <v>0</v>
      </c>
      <c r="P8" s="296">
        <v>36273</v>
      </c>
      <c r="Q8" s="50"/>
      <c r="R8" s="279">
        <v>84665</v>
      </c>
      <c r="S8" s="292">
        <v>-48392</v>
      </c>
      <c r="U8" s="294">
        <v>48392</v>
      </c>
    </row>
    <row r="9" spans="1:23">
      <c r="A9" s="206" t="s">
        <v>296</v>
      </c>
      <c r="B9" s="201"/>
      <c r="C9" s="280"/>
      <c r="D9" s="201"/>
      <c r="E9" s="280"/>
      <c r="F9" s="291">
        <v>0</v>
      </c>
      <c r="G9" s="296">
        <v>185761</v>
      </c>
      <c r="H9" s="201"/>
      <c r="I9" s="279">
        <v>232036</v>
      </c>
      <c r="J9" s="293">
        <v>48016</v>
      </c>
      <c r="K9" s="206" t="s">
        <v>40</v>
      </c>
      <c r="L9" s="280">
        <v>16</v>
      </c>
      <c r="M9" s="206"/>
      <c r="N9" s="280">
        <v>13</v>
      </c>
      <c r="O9" s="292">
        <v>3</v>
      </c>
      <c r="P9" s="296">
        <v>17132</v>
      </c>
      <c r="Q9" s="50"/>
      <c r="R9" s="279">
        <v>13890</v>
      </c>
      <c r="S9" s="292">
        <v>3242</v>
      </c>
    </row>
    <row r="10" spans="1:23">
      <c r="A10" s="206" t="s">
        <v>32</v>
      </c>
      <c r="B10" s="201"/>
      <c r="C10" s="279">
        <v>4850</v>
      </c>
      <c r="D10" s="201"/>
      <c r="E10" s="279">
        <v>14471</v>
      </c>
      <c r="F10" s="291">
        <v>9621</v>
      </c>
      <c r="G10" s="279"/>
      <c r="H10" s="201"/>
      <c r="I10" s="279"/>
      <c r="J10" s="293">
        <v>0</v>
      </c>
      <c r="K10" s="206" t="s">
        <v>41</v>
      </c>
      <c r="L10" s="280">
        <v>8</v>
      </c>
      <c r="M10" s="206"/>
      <c r="N10" s="280">
        <v>9</v>
      </c>
      <c r="O10" s="292">
        <v>-1</v>
      </c>
      <c r="P10" s="296">
        <v>6550</v>
      </c>
      <c r="Q10" s="50"/>
      <c r="R10" s="279">
        <v>8107</v>
      </c>
      <c r="S10" s="292">
        <v>-1557</v>
      </c>
    </row>
    <row r="11" spans="1:23">
      <c r="A11" s="206" t="s">
        <v>297</v>
      </c>
      <c r="B11" s="201"/>
      <c r="C11" s="280"/>
      <c r="D11" s="201"/>
      <c r="E11" s="280">
        <v>0</v>
      </c>
      <c r="F11" s="291">
        <v>0</v>
      </c>
      <c r="G11" s="296">
        <v>176461</v>
      </c>
      <c r="H11" s="201"/>
      <c r="I11" s="279">
        <v>162775</v>
      </c>
      <c r="J11" s="293">
        <v>-13686</v>
      </c>
      <c r="K11" s="206" t="s">
        <v>42</v>
      </c>
      <c r="L11" s="280">
        <v>15</v>
      </c>
      <c r="M11" s="206"/>
      <c r="N11" s="280">
        <v>8</v>
      </c>
      <c r="O11" s="292">
        <v>7</v>
      </c>
      <c r="P11" s="296">
        <v>10948</v>
      </c>
      <c r="Q11" s="50"/>
      <c r="R11" s="279">
        <v>11795</v>
      </c>
      <c r="S11" s="292">
        <v>-847</v>
      </c>
    </row>
    <row r="12" spans="1:23">
      <c r="A12" s="206" t="s">
        <v>33</v>
      </c>
      <c r="B12" s="201"/>
      <c r="C12" s="290">
        <v>1098</v>
      </c>
      <c r="D12" s="201"/>
      <c r="E12" s="290">
        <v>1052</v>
      </c>
      <c r="F12" s="291">
        <v>-46</v>
      </c>
      <c r="G12" s="296">
        <v>17594</v>
      </c>
      <c r="H12" s="201"/>
      <c r="I12" s="279">
        <v>13369</v>
      </c>
      <c r="J12" s="293">
        <v>-4225</v>
      </c>
      <c r="K12" s="206" t="s">
        <v>298</v>
      </c>
      <c r="L12" s="279">
        <v>29</v>
      </c>
      <c r="M12" s="206"/>
      <c r="N12" s="279">
        <v>5366</v>
      </c>
      <c r="O12" s="292">
        <v>-5337</v>
      </c>
      <c r="P12" s="296">
        <v>1438</v>
      </c>
      <c r="Q12" s="50"/>
      <c r="R12" s="279">
        <v>6775</v>
      </c>
      <c r="S12" s="292">
        <v>-5337</v>
      </c>
      <c r="T12">
        <v>2618</v>
      </c>
      <c r="U12" s="294">
        <v>-7955</v>
      </c>
      <c r="V12">
        <v>15036</v>
      </c>
      <c r="W12" s="294">
        <v>13598</v>
      </c>
    </row>
    <row r="13" spans="1:23">
      <c r="A13" s="206" t="s">
        <v>299</v>
      </c>
      <c r="B13" s="201"/>
      <c r="C13" s="279">
        <v>1757</v>
      </c>
      <c r="D13" s="201"/>
      <c r="E13" s="279">
        <v>2375</v>
      </c>
      <c r="F13" s="291">
        <v>618</v>
      </c>
      <c r="G13" s="296">
        <v>29028</v>
      </c>
      <c r="H13" s="201"/>
      <c r="I13" s="279">
        <v>26467</v>
      </c>
      <c r="J13" s="293">
        <v>-2561</v>
      </c>
      <c r="K13" s="206" t="s">
        <v>43</v>
      </c>
      <c r="L13" s="280"/>
      <c r="M13" s="206"/>
      <c r="N13" s="280"/>
      <c r="O13" s="292">
        <v>0</v>
      </c>
      <c r="P13" s="298">
        <v>243</v>
      </c>
      <c r="Q13" s="50"/>
      <c r="R13" s="290">
        <v>406</v>
      </c>
      <c r="S13" s="292">
        <v>-163</v>
      </c>
    </row>
    <row r="14" spans="1:23" ht="15" thickBot="1">
      <c r="A14" s="201"/>
      <c r="B14" s="201"/>
      <c r="C14" s="280"/>
      <c r="D14" s="201"/>
      <c r="E14" s="201"/>
      <c r="F14" s="291">
        <v>0</v>
      </c>
      <c r="G14" s="280"/>
      <c r="H14" s="201"/>
      <c r="I14" s="201"/>
      <c r="J14" s="293">
        <v>0</v>
      </c>
      <c r="K14" s="206" t="s">
        <v>44</v>
      </c>
      <c r="L14" s="282">
        <v>7</v>
      </c>
      <c r="M14" s="206"/>
      <c r="N14" s="282">
        <v>6</v>
      </c>
      <c r="O14" s="292">
        <v>1</v>
      </c>
      <c r="P14" s="299">
        <v>6922</v>
      </c>
      <c r="Q14" s="50"/>
      <c r="R14" s="284">
        <v>6835</v>
      </c>
      <c r="S14" s="292">
        <v>87</v>
      </c>
    </row>
    <row r="15" spans="1:23" ht="15" thickBot="1">
      <c r="A15" s="201"/>
      <c r="B15" s="201"/>
      <c r="C15" s="282"/>
      <c r="D15" s="201"/>
      <c r="E15" s="286"/>
      <c r="F15" s="291">
        <v>0</v>
      </c>
      <c r="G15" s="282"/>
      <c r="H15" s="201"/>
      <c r="I15" s="286"/>
      <c r="J15" s="293">
        <v>0</v>
      </c>
      <c r="K15" s="201"/>
      <c r="L15" s="280"/>
      <c r="M15" s="206"/>
      <c r="N15" s="280"/>
      <c r="O15" s="292">
        <v>0</v>
      </c>
      <c r="P15" s="280"/>
      <c r="Q15" s="50"/>
      <c r="R15" s="280"/>
      <c r="S15" s="292">
        <v>0</v>
      </c>
    </row>
    <row r="16" spans="1:23" ht="15" thickBot="1">
      <c r="A16" s="201"/>
      <c r="B16" s="201"/>
      <c r="C16" s="280"/>
      <c r="D16" s="201"/>
      <c r="E16" s="201"/>
      <c r="F16" s="291">
        <v>0</v>
      </c>
      <c r="G16" s="280"/>
      <c r="H16" s="201"/>
      <c r="I16" s="201"/>
      <c r="J16" s="293">
        <v>0</v>
      </c>
      <c r="K16" s="201"/>
      <c r="L16" s="284">
        <v>75</v>
      </c>
      <c r="M16" s="206"/>
      <c r="N16" s="284">
        <v>5402</v>
      </c>
      <c r="O16" s="292">
        <v>-5327</v>
      </c>
      <c r="P16" s="284">
        <v>79506</v>
      </c>
      <c r="Q16" s="50"/>
      <c r="R16" s="284">
        <v>132473</v>
      </c>
      <c r="S16" s="292">
        <v>-52967</v>
      </c>
    </row>
    <row r="17" spans="1:21" ht="15" thickBot="1">
      <c r="A17" s="201"/>
      <c r="B17" s="201"/>
      <c r="C17" s="284">
        <v>7770</v>
      </c>
      <c r="D17" s="201"/>
      <c r="E17" s="284">
        <v>17959</v>
      </c>
      <c r="F17" s="291">
        <v>10189</v>
      </c>
      <c r="G17" s="284">
        <v>436492</v>
      </c>
      <c r="H17" s="201"/>
      <c r="I17" s="284">
        <v>480990</v>
      </c>
      <c r="J17" s="293">
        <v>44498</v>
      </c>
      <c r="K17" s="201"/>
      <c r="L17" s="280"/>
      <c r="M17" s="206"/>
      <c r="N17" s="280"/>
      <c r="O17" s="292">
        <v>0</v>
      </c>
      <c r="P17" s="280"/>
      <c r="Q17" s="50"/>
      <c r="R17" s="280"/>
      <c r="S17" s="292">
        <v>0</v>
      </c>
    </row>
    <row r="18" spans="1:21">
      <c r="A18" s="201"/>
      <c r="B18" s="201"/>
      <c r="C18" s="280"/>
      <c r="D18" s="201"/>
      <c r="E18" s="201"/>
      <c r="F18" s="291">
        <v>0</v>
      </c>
      <c r="G18" s="280"/>
      <c r="H18" s="201"/>
      <c r="I18" s="201"/>
      <c r="J18" s="293">
        <v>0</v>
      </c>
      <c r="K18" s="206" t="s">
        <v>35</v>
      </c>
      <c r="L18" s="280"/>
      <c r="M18" s="206"/>
      <c r="N18" s="280"/>
      <c r="O18" s="292">
        <v>0</v>
      </c>
      <c r="P18" s="280"/>
      <c r="Q18" s="50"/>
      <c r="R18" s="280"/>
      <c r="S18" s="292">
        <v>0</v>
      </c>
    </row>
    <row r="19" spans="1:21" ht="15" thickBot="1">
      <c r="A19" s="206" t="s">
        <v>300</v>
      </c>
      <c r="B19" s="201"/>
      <c r="C19" s="282"/>
      <c r="D19" s="201"/>
      <c r="E19" s="286"/>
      <c r="F19" s="291">
        <v>0</v>
      </c>
      <c r="G19" s="282"/>
      <c r="H19" s="201"/>
      <c r="I19" s="282"/>
      <c r="J19" s="293">
        <v>0</v>
      </c>
      <c r="K19" s="206" t="s">
        <v>295</v>
      </c>
      <c r="L19" s="280"/>
      <c r="M19" s="206"/>
      <c r="N19" s="280"/>
      <c r="O19" s="292">
        <v>0</v>
      </c>
      <c r="P19" s="298">
        <v>155132</v>
      </c>
      <c r="Q19" s="50"/>
      <c r="R19" s="290">
        <v>155128</v>
      </c>
      <c r="S19" s="292">
        <v>4</v>
      </c>
    </row>
    <row r="20" spans="1:21">
      <c r="A20" s="201"/>
      <c r="B20" s="201"/>
      <c r="C20" s="280"/>
      <c r="D20" s="201"/>
      <c r="E20" s="201"/>
      <c r="F20" s="291">
        <v>0</v>
      </c>
      <c r="G20" s="280"/>
      <c r="H20" s="201"/>
      <c r="I20" s="201"/>
      <c r="J20" s="293">
        <v>0</v>
      </c>
      <c r="K20" s="206" t="s">
        <v>301</v>
      </c>
      <c r="L20" s="280"/>
      <c r="M20" s="206"/>
      <c r="N20" s="280"/>
      <c r="O20" s="292">
        <v>0</v>
      </c>
      <c r="P20" s="296">
        <v>50783</v>
      </c>
      <c r="Q20" s="50"/>
      <c r="R20" s="279">
        <v>49640</v>
      </c>
      <c r="S20" s="292">
        <v>1143</v>
      </c>
      <c r="T20" s="294"/>
    </row>
    <row r="21" spans="1:21" ht="15" thickBot="1">
      <c r="A21" s="201"/>
      <c r="B21" s="201"/>
      <c r="C21" s="284">
        <v>7770</v>
      </c>
      <c r="D21" s="201"/>
      <c r="E21" s="284">
        <v>17959</v>
      </c>
      <c r="F21" s="291">
        <v>10189</v>
      </c>
      <c r="G21" s="284">
        <v>436492</v>
      </c>
      <c r="H21" s="201"/>
      <c r="I21" s="284">
        <v>480990</v>
      </c>
      <c r="J21" s="293">
        <v>44498</v>
      </c>
      <c r="K21" s="206" t="s">
        <v>302</v>
      </c>
      <c r="L21" s="280"/>
      <c r="M21" s="206"/>
      <c r="N21" s="280"/>
      <c r="O21" s="292">
        <v>0</v>
      </c>
      <c r="P21" s="296">
        <v>28921</v>
      </c>
      <c r="Q21" s="50"/>
      <c r="R21" s="279">
        <v>27714</v>
      </c>
      <c r="S21" s="292">
        <v>1207</v>
      </c>
    </row>
    <row r="22" spans="1:21">
      <c r="A22" s="206"/>
      <c r="B22" s="206"/>
      <c r="C22" s="280"/>
      <c r="D22" s="206"/>
      <c r="E22" s="280"/>
      <c r="F22" s="291">
        <v>0</v>
      </c>
      <c r="G22" s="280"/>
      <c r="H22" s="206"/>
      <c r="I22" s="280"/>
      <c r="J22" s="293">
        <v>0</v>
      </c>
      <c r="K22" s="206" t="s">
        <v>43</v>
      </c>
      <c r="L22" s="280"/>
      <c r="M22" s="206"/>
      <c r="N22" s="280"/>
      <c r="O22" s="292">
        <v>0</v>
      </c>
      <c r="P22" s="300">
        <v>320</v>
      </c>
      <c r="Q22" s="50"/>
      <c r="R22" s="280">
        <v>560</v>
      </c>
      <c r="S22" s="292">
        <v>-240</v>
      </c>
    </row>
    <row r="23" spans="1:21">
      <c r="A23" s="201"/>
      <c r="B23" s="201"/>
      <c r="C23" s="201"/>
      <c r="D23" s="201"/>
      <c r="E23" s="201"/>
      <c r="F23" s="291">
        <v>0</v>
      </c>
      <c r="G23" s="201"/>
      <c r="H23" s="201"/>
      <c r="I23" s="201"/>
      <c r="J23" s="293">
        <v>0</v>
      </c>
      <c r="K23" s="206" t="s">
        <v>303</v>
      </c>
      <c r="L23" s="280"/>
      <c r="M23" s="206"/>
      <c r="N23" s="280"/>
      <c r="O23" s="292">
        <v>0</v>
      </c>
      <c r="P23" s="296">
        <v>24804</v>
      </c>
      <c r="Q23" s="222"/>
      <c r="R23" s="279">
        <v>24954</v>
      </c>
      <c r="S23" s="292">
        <v>-150</v>
      </c>
    </row>
    <row r="24" spans="1:21" ht="15" thickBot="1">
      <c r="A24" s="206" t="s">
        <v>35</v>
      </c>
      <c r="B24" s="201"/>
      <c r="C24" s="201"/>
      <c r="D24" s="201"/>
      <c r="E24" s="201"/>
      <c r="F24" s="291">
        <v>0</v>
      </c>
      <c r="G24" s="201"/>
      <c r="H24" s="201"/>
      <c r="I24" s="201"/>
      <c r="J24" s="293">
        <v>0</v>
      </c>
      <c r="K24" s="206" t="s">
        <v>44</v>
      </c>
      <c r="L24" s="282"/>
      <c r="M24" s="206"/>
      <c r="N24" s="282"/>
      <c r="O24" s="292">
        <v>0</v>
      </c>
      <c r="P24" s="299">
        <v>2132</v>
      </c>
      <c r="Q24" s="50"/>
      <c r="R24" s="284">
        <v>2132</v>
      </c>
      <c r="S24" s="292">
        <v>0</v>
      </c>
      <c r="T24" s="294"/>
      <c r="U24" t="s">
        <v>304</v>
      </c>
    </row>
    <row r="25" spans="1:21">
      <c r="A25" s="206" t="s">
        <v>36</v>
      </c>
      <c r="B25" s="201"/>
      <c r="C25" s="201"/>
      <c r="D25" s="201"/>
      <c r="E25" s="201"/>
      <c r="F25" s="291">
        <v>0</v>
      </c>
      <c r="G25" s="201"/>
      <c r="H25" s="201"/>
      <c r="I25" s="201"/>
      <c r="J25" s="293">
        <v>0</v>
      </c>
      <c r="K25" s="201"/>
      <c r="L25" s="280"/>
      <c r="M25" s="206"/>
      <c r="N25" s="280"/>
      <c r="O25" s="292">
        <v>0</v>
      </c>
      <c r="P25" s="280"/>
      <c r="Q25" s="50"/>
      <c r="R25" s="280"/>
      <c r="S25" s="292">
        <v>0</v>
      </c>
    </row>
    <row r="26" spans="1:21" ht="15" thickBot="1">
      <c r="A26" s="206" t="s">
        <v>305</v>
      </c>
      <c r="B26" s="201"/>
      <c r="C26" s="201"/>
      <c r="D26" s="201"/>
      <c r="E26" s="201"/>
      <c r="F26" s="291">
        <v>0</v>
      </c>
      <c r="G26" s="296">
        <v>8437</v>
      </c>
      <c r="H26" s="201"/>
      <c r="I26" s="279">
        <v>8812</v>
      </c>
      <c r="J26" s="293">
        <v>375</v>
      </c>
      <c r="K26" s="201"/>
      <c r="L26" s="285">
        <v>0</v>
      </c>
      <c r="M26" s="206"/>
      <c r="N26" s="285">
        <v>0</v>
      </c>
      <c r="O26" s="292">
        <v>0</v>
      </c>
      <c r="P26" s="285">
        <v>262092</v>
      </c>
      <c r="Q26" s="50"/>
      <c r="R26" s="285">
        <v>260128</v>
      </c>
      <c r="S26" s="292">
        <v>1964</v>
      </c>
    </row>
    <row r="27" spans="1:21" ht="15" thickBot="1">
      <c r="A27" s="206" t="s">
        <v>33</v>
      </c>
      <c r="B27" s="201"/>
      <c r="C27" s="201"/>
      <c r="D27" s="201"/>
      <c r="E27" s="201"/>
      <c r="F27" s="291">
        <v>0</v>
      </c>
      <c r="G27" s="296">
        <v>4571</v>
      </c>
      <c r="H27" s="201"/>
      <c r="I27" s="279">
        <v>4570</v>
      </c>
      <c r="J27" s="293">
        <v>-1</v>
      </c>
      <c r="K27" s="201"/>
      <c r="L27" s="284">
        <v>75</v>
      </c>
      <c r="M27" s="206"/>
      <c r="N27" s="284">
        <v>5402</v>
      </c>
      <c r="O27" s="292">
        <v>-5327</v>
      </c>
      <c r="P27" s="284">
        <v>341598</v>
      </c>
      <c r="Q27" s="50"/>
      <c r="R27" s="284">
        <v>392601</v>
      </c>
      <c r="S27" s="292">
        <v>-51003</v>
      </c>
    </row>
    <row r="28" spans="1:21">
      <c r="A28" s="206" t="s">
        <v>401</v>
      </c>
      <c r="B28" s="201"/>
      <c r="C28" s="201"/>
      <c r="D28" s="201"/>
      <c r="E28" s="201"/>
      <c r="F28" s="291"/>
      <c r="G28" s="296">
        <v>7617</v>
      </c>
      <c r="H28" s="201"/>
      <c r="I28" s="279">
        <v>6664</v>
      </c>
      <c r="J28" s="293"/>
      <c r="K28" s="201"/>
      <c r="L28" s="279"/>
      <c r="M28" s="206"/>
      <c r="N28" s="279"/>
      <c r="O28" s="292"/>
      <c r="P28" s="279"/>
      <c r="Q28" s="50"/>
      <c r="R28" s="279"/>
      <c r="S28" s="292"/>
    </row>
    <row r="29" spans="1:21">
      <c r="A29" s="206" t="s">
        <v>306</v>
      </c>
      <c r="B29" s="201"/>
      <c r="C29" s="201"/>
      <c r="D29" s="201"/>
      <c r="E29" s="201"/>
      <c r="F29" s="291">
        <v>0</v>
      </c>
      <c r="G29" s="296">
        <v>24804</v>
      </c>
      <c r="H29" s="201"/>
      <c r="I29" s="279">
        <v>25574</v>
      </c>
      <c r="J29" s="293">
        <v>770</v>
      </c>
      <c r="K29" s="201"/>
      <c r="L29" s="280"/>
      <c r="M29" s="206"/>
      <c r="N29" s="280"/>
      <c r="O29" s="292">
        <v>0</v>
      </c>
      <c r="P29" s="280"/>
      <c r="Q29" s="50"/>
      <c r="R29" s="280"/>
      <c r="S29" s="292">
        <v>0</v>
      </c>
    </row>
    <row r="30" spans="1:21">
      <c r="A30" s="206" t="s">
        <v>37</v>
      </c>
      <c r="B30" s="201"/>
      <c r="C30" s="201"/>
      <c r="D30" s="201"/>
      <c r="E30" s="201"/>
      <c r="F30" s="291">
        <v>0</v>
      </c>
      <c r="G30" s="296">
        <v>2069</v>
      </c>
      <c r="H30" s="201"/>
      <c r="I30" s="279">
        <v>2116</v>
      </c>
      <c r="J30" s="293">
        <v>47</v>
      </c>
      <c r="K30" s="206" t="s">
        <v>307</v>
      </c>
      <c r="L30" s="280"/>
      <c r="M30" s="206"/>
      <c r="N30" s="280"/>
      <c r="O30" s="292">
        <v>0</v>
      </c>
      <c r="P30" s="280"/>
      <c r="Q30" s="50"/>
      <c r="R30" s="280"/>
      <c r="S30" s="292">
        <v>0</v>
      </c>
    </row>
    <row r="31" spans="1:21" ht="15" thickBot="1">
      <c r="A31" s="206" t="s">
        <v>34</v>
      </c>
      <c r="B31" s="201"/>
      <c r="C31" s="286"/>
      <c r="D31" s="201"/>
      <c r="E31" s="286"/>
      <c r="F31" s="291">
        <v>0</v>
      </c>
      <c r="G31" s="297">
        <v>360</v>
      </c>
      <c r="H31" s="201"/>
      <c r="I31" s="282">
        <v>114</v>
      </c>
      <c r="J31" s="293">
        <v>-246</v>
      </c>
      <c r="K31" s="206" t="s">
        <v>308</v>
      </c>
      <c r="L31" s="280"/>
      <c r="M31" s="206"/>
      <c r="N31" s="280"/>
      <c r="O31" s="292">
        <v>0</v>
      </c>
      <c r="P31" s="280"/>
      <c r="Q31" s="50"/>
      <c r="R31" s="280"/>
      <c r="S31" s="292">
        <v>0</v>
      </c>
    </row>
    <row r="32" spans="1:21">
      <c r="A32" s="201"/>
      <c r="B32" s="201"/>
      <c r="C32" s="201"/>
      <c r="D32" s="201"/>
      <c r="E32" s="201"/>
      <c r="F32" s="291">
        <v>0</v>
      </c>
      <c r="G32" s="280"/>
      <c r="H32" s="201"/>
      <c r="I32" s="201"/>
      <c r="J32" s="293">
        <v>0</v>
      </c>
      <c r="K32" s="206" t="s">
        <v>46</v>
      </c>
      <c r="L32" s="212">
        <v>129393</v>
      </c>
      <c r="M32" s="212"/>
      <c r="N32" s="212">
        <v>127000</v>
      </c>
      <c r="O32" s="292">
        <v>2393</v>
      </c>
      <c r="P32" s="212">
        <v>129393</v>
      </c>
      <c r="Q32" s="212"/>
      <c r="R32" s="212">
        <v>127000</v>
      </c>
      <c r="S32" s="292">
        <v>2393</v>
      </c>
    </row>
    <row r="33" spans="1:19">
      <c r="A33" s="201"/>
      <c r="B33" s="201"/>
      <c r="C33" s="201"/>
      <c r="D33" s="201"/>
      <c r="E33" s="201"/>
      <c r="F33" s="291">
        <v>0</v>
      </c>
      <c r="G33" s="280"/>
      <c r="H33" s="201"/>
      <c r="I33" s="201"/>
      <c r="J33" s="293">
        <v>0</v>
      </c>
      <c r="K33" s="206" t="s">
        <v>47</v>
      </c>
      <c r="L33" s="212">
        <v>-10870</v>
      </c>
      <c r="M33" s="212"/>
      <c r="N33" s="212">
        <v>-10870</v>
      </c>
      <c r="O33" s="292">
        <v>0</v>
      </c>
      <c r="P33" s="212">
        <v>-10870</v>
      </c>
      <c r="Q33" s="212"/>
      <c r="R33" s="212">
        <v>-10870</v>
      </c>
      <c r="S33" s="292">
        <v>0</v>
      </c>
    </row>
    <row r="34" spans="1:19">
      <c r="A34" s="206" t="s">
        <v>309</v>
      </c>
      <c r="B34" s="201"/>
      <c r="C34" s="279">
        <v>362019</v>
      </c>
      <c r="D34" s="201"/>
      <c r="E34" s="279">
        <v>354905</v>
      </c>
      <c r="F34" s="291">
        <v>-7114</v>
      </c>
      <c r="G34" s="290"/>
      <c r="H34" s="201"/>
      <c r="I34" s="201"/>
      <c r="J34" s="293">
        <v>0</v>
      </c>
      <c r="K34" s="206" t="s">
        <v>48</v>
      </c>
      <c r="L34" s="212">
        <v>190475</v>
      </c>
      <c r="M34" s="212"/>
      <c r="N34" s="212">
        <v>188397</v>
      </c>
      <c r="O34" s="292">
        <v>2078</v>
      </c>
      <c r="P34" s="212">
        <v>190475</v>
      </c>
      <c r="Q34" s="212"/>
      <c r="R34" s="212">
        <v>188397</v>
      </c>
      <c r="S34" s="292">
        <v>2078</v>
      </c>
    </row>
    <row r="35" spans="1:19">
      <c r="A35" s="206" t="s">
        <v>310</v>
      </c>
      <c r="B35" s="201"/>
      <c r="C35" s="279">
        <v>74957</v>
      </c>
      <c r="D35" s="201"/>
      <c r="E35" s="279">
        <v>74959</v>
      </c>
      <c r="F35" s="291">
        <v>2</v>
      </c>
      <c r="G35" s="298">
        <v>263798</v>
      </c>
      <c r="H35" s="201"/>
      <c r="I35" s="290">
        <v>266280</v>
      </c>
      <c r="J35" s="293">
        <v>2482</v>
      </c>
      <c r="K35" s="206" t="s">
        <v>49</v>
      </c>
      <c r="L35" s="212">
        <v>147022</v>
      </c>
      <c r="M35" s="212"/>
      <c r="N35" s="212">
        <v>154128</v>
      </c>
      <c r="O35" s="292">
        <v>-7106</v>
      </c>
      <c r="P35" s="212">
        <v>147022</v>
      </c>
      <c r="Q35" s="212"/>
      <c r="R35" s="212">
        <v>154128</v>
      </c>
      <c r="S35" s="292">
        <v>-7106</v>
      </c>
    </row>
    <row r="36" spans="1:19" ht="15" thickBot="1">
      <c r="A36" s="206" t="s">
        <v>311</v>
      </c>
      <c r="B36" s="201"/>
      <c r="C36" s="282"/>
      <c r="D36" s="201"/>
      <c r="E36" s="286"/>
      <c r="F36" s="291">
        <v>0</v>
      </c>
      <c r="G36" s="299">
        <v>41765</v>
      </c>
      <c r="H36" s="201"/>
      <c r="I36" s="284">
        <v>43490</v>
      </c>
      <c r="J36" s="293">
        <v>1725</v>
      </c>
      <c r="K36" s="206" t="s">
        <v>50</v>
      </c>
      <c r="L36" s="212">
        <v>-16234</v>
      </c>
      <c r="M36" s="212"/>
      <c r="N36" s="212">
        <v>-16234</v>
      </c>
      <c r="O36" s="292">
        <v>0</v>
      </c>
      <c r="P36" s="212">
        <v>-16234</v>
      </c>
      <c r="Q36" s="212"/>
      <c r="R36" s="212">
        <v>-16234</v>
      </c>
      <c r="S36" s="292">
        <v>0</v>
      </c>
    </row>
    <row r="37" spans="1:19" ht="15" thickBot="1">
      <c r="A37" s="201"/>
      <c r="B37" s="201"/>
      <c r="C37" s="280"/>
      <c r="D37" s="201"/>
      <c r="E37" s="201"/>
      <c r="F37" s="291">
        <v>0</v>
      </c>
      <c r="G37" s="280"/>
      <c r="H37" s="201"/>
      <c r="I37" s="280"/>
      <c r="J37" s="293">
        <v>0</v>
      </c>
      <c r="K37" s="206" t="s">
        <v>402</v>
      </c>
      <c r="L37" s="211">
        <v>4885</v>
      </c>
      <c r="M37" s="212"/>
      <c r="N37" s="211"/>
      <c r="O37" s="292">
        <v>4885</v>
      </c>
      <c r="P37" s="211">
        <v>4885</v>
      </c>
      <c r="Q37" s="212"/>
      <c r="R37" s="211"/>
      <c r="S37" s="292">
        <v>4885</v>
      </c>
    </row>
    <row r="38" spans="1:19">
      <c r="A38" s="201"/>
      <c r="B38" s="201"/>
      <c r="C38" s="280"/>
      <c r="D38" s="201"/>
      <c r="E38" s="201"/>
      <c r="F38" s="291">
        <v>0</v>
      </c>
      <c r="G38" s="280"/>
      <c r="H38" s="201"/>
      <c r="I38" s="280"/>
      <c r="J38" s="293">
        <v>0</v>
      </c>
      <c r="K38" s="201"/>
      <c r="L38" s="280"/>
      <c r="M38" s="206"/>
      <c r="N38" s="280"/>
      <c r="O38" s="292">
        <v>0</v>
      </c>
      <c r="P38" s="280"/>
      <c r="Q38" s="50"/>
      <c r="R38" s="280"/>
      <c r="S38" s="292">
        <v>0</v>
      </c>
    </row>
    <row r="39" spans="1:19" ht="15" thickBot="1">
      <c r="A39" s="201"/>
      <c r="B39" s="201"/>
      <c r="C39" s="284">
        <v>436976</v>
      </c>
      <c r="D39" s="201"/>
      <c r="E39" s="284">
        <v>429864</v>
      </c>
      <c r="F39" s="291">
        <v>-7112</v>
      </c>
      <c r="G39" s="284">
        <v>353421</v>
      </c>
      <c r="H39" s="201"/>
      <c r="I39" s="284">
        <v>357620</v>
      </c>
      <c r="J39" s="293">
        <v>4199</v>
      </c>
      <c r="K39" s="201"/>
      <c r="L39" s="284">
        <v>444671</v>
      </c>
      <c r="M39" s="206"/>
      <c r="N39" s="284">
        <v>442421</v>
      </c>
      <c r="O39" s="292">
        <v>2250</v>
      </c>
      <c r="P39" s="284">
        <v>444671</v>
      </c>
      <c r="Q39" s="50"/>
      <c r="R39" s="284">
        <v>442421</v>
      </c>
      <c r="S39" s="292">
        <v>2250</v>
      </c>
    </row>
    <row r="40" spans="1:19">
      <c r="A40" s="201"/>
      <c r="B40" s="201"/>
      <c r="C40" s="280"/>
      <c r="D40" s="201"/>
      <c r="E40" s="201"/>
      <c r="F40" s="291">
        <v>0</v>
      </c>
      <c r="G40" s="280"/>
      <c r="H40" s="201"/>
      <c r="I40" s="280"/>
      <c r="J40" s="293">
        <v>0</v>
      </c>
      <c r="K40" s="201"/>
      <c r="L40" s="280"/>
      <c r="M40" s="206"/>
      <c r="N40" s="280"/>
      <c r="O40" s="292">
        <v>0</v>
      </c>
      <c r="P40" s="280"/>
      <c r="Q40" s="50"/>
      <c r="R40" s="280"/>
      <c r="S40" s="292">
        <v>0</v>
      </c>
    </row>
    <row r="41" spans="1:19" ht="15" thickBot="1">
      <c r="A41" s="206"/>
      <c r="B41" s="206"/>
      <c r="C41" s="280"/>
      <c r="D41" s="206"/>
      <c r="E41" s="281"/>
      <c r="F41" s="291">
        <v>0</v>
      </c>
      <c r="G41" s="280"/>
      <c r="H41" s="206"/>
      <c r="I41" s="281"/>
      <c r="J41" s="293">
        <v>0</v>
      </c>
      <c r="K41" s="206" t="s">
        <v>55</v>
      </c>
      <c r="L41" s="282"/>
      <c r="M41" s="206"/>
      <c r="N41" s="283"/>
      <c r="O41" s="292">
        <v>0</v>
      </c>
      <c r="P41" s="284">
        <v>3644</v>
      </c>
      <c r="Q41" s="222"/>
      <c r="R41" s="284">
        <v>3588</v>
      </c>
      <c r="S41" s="292">
        <v>56</v>
      </c>
    </row>
    <row r="42" spans="1:19">
      <c r="A42" s="206"/>
      <c r="B42" s="206"/>
      <c r="C42" s="280"/>
      <c r="D42" s="206"/>
      <c r="E42" s="281"/>
      <c r="F42" s="291">
        <v>0</v>
      </c>
      <c r="G42" s="280"/>
      <c r="H42" s="206"/>
      <c r="I42" s="281"/>
      <c r="J42" s="293">
        <v>0</v>
      </c>
      <c r="K42" s="206"/>
      <c r="L42" s="280"/>
      <c r="M42" s="206"/>
      <c r="N42" s="281"/>
      <c r="O42" s="292">
        <v>0</v>
      </c>
      <c r="P42" s="280"/>
      <c r="Q42" s="222"/>
      <c r="R42" s="281"/>
      <c r="S42" s="292">
        <v>0</v>
      </c>
    </row>
    <row r="43" spans="1:19" ht="15" thickBot="1">
      <c r="A43" s="206"/>
      <c r="B43" s="206"/>
      <c r="C43" s="282"/>
      <c r="D43" s="206"/>
      <c r="E43" s="283"/>
      <c r="F43" s="291">
        <v>0</v>
      </c>
      <c r="G43" s="282"/>
      <c r="H43" s="206"/>
      <c r="I43" s="283"/>
      <c r="J43" s="293">
        <v>0</v>
      </c>
      <c r="K43" s="206" t="s">
        <v>51</v>
      </c>
      <c r="L43" s="284">
        <v>444671</v>
      </c>
      <c r="M43" s="206"/>
      <c r="N43" s="284">
        <v>442421</v>
      </c>
      <c r="O43" s="292">
        <v>2250</v>
      </c>
      <c r="P43" s="284">
        <v>448315</v>
      </c>
      <c r="Q43" s="222"/>
      <c r="R43" s="284">
        <v>446009</v>
      </c>
      <c r="S43" s="292">
        <v>2306</v>
      </c>
    </row>
    <row r="44" spans="1:19">
      <c r="A44" s="206"/>
      <c r="B44" s="206"/>
      <c r="C44" s="280"/>
      <c r="D44" s="206"/>
      <c r="E44" s="281"/>
      <c r="F44" s="291">
        <v>0</v>
      </c>
      <c r="G44" s="280"/>
      <c r="H44" s="206"/>
      <c r="I44" s="281"/>
      <c r="J44" s="293">
        <v>0</v>
      </c>
      <c r="K44" s="206"/>
      <c r="L44" s="280"/>
      <c r="M44" s="206"/>
      <c r="N44" s="281"/>
      <c r="O44" s="292">
        <v>0</v>
      </c>
      <c r="P44" s="280"/>
      <c r="Q44" s="222"/>
      <c r="R44" s="281"/>
      <c r="S44" s="292">
        <v>0</v>
      </c>
    </row>
    <row r="45" spans="1:19" ht="15" thickBot="1">
      <c r="A45" s="206" t="s">
        <v>38</v>
      </c>
      <c r="B45" s="201"/>
      <c r="C45" s="287">
        <v>444746</v>
      </c>
      <c r="D45" s="201"/>
      <c r="E45" s="287">
        <v>447823</v>
      </c>
      <c r="F45" s="291">
        <v>3077</v>
      </c>
      <c r="G45" s="287">
        <v>789913</v>
      </c>
      <c r="H45" s="201"/>
      <c r="I45" s="287">
        <v>838610</v>
      </c>
      <c r="J45" s="293">
        <v>48697</v>
      </c>
      <c r="K45" s="206" t="s">
        <v>312</v>
      </c>
      <c r="L45" s="287">
        <v>444746</v>
      </c>
      <c r="M45" s="206"/>
      <c r="N45" s="287">
        <v>447823</v>
      </c>
      <c r="O45" s="292">
        <v>-3077</v>
      </c>
      <c r="P45" s="287">
        <v>789913</v>
      </c>
      <c r="Q45" s="50"/>
      <c r="R45" s="287">
        <v>838610</v>
      </c>
      <c r="S45" s="292">
        <v>-48697</v>
      </c>
    </row>
    <row r="46" spans="1:19" ht="15" thickTop="1">
      <c r="A46" s="288"/>
      <c r="L46" s="294">
        <v>0</v>
      </c>
      <c r="N46" s="294">
        <v>0</v>
      </c>
      <c r="P46" s="294">
        <v>0</v>
      </c>
      <c r="R46" s="294">
        <v>0</v>
      </c>
    </row>
    <row r="47" spans="1:19">
      <c r="A47" s="288"/>
    </row>
    <row r="48" spans="1:19">
      <c r="A48" s="288"/>
    </row>
    <row r="49" spans="1:1">
      <c r="A49" s="289" t="s">
        <v>313</v>
      </c>
    </row>
    <row r="50" spans="1:1">
      <c r="A50" s="289" t="s">
        <v>314</v>
      </c>
    </row>
  </sheetData>
  <mergeCells count="19">
    <mergeCell ref="O3:O4"/>
    <mergeCell ref="Q3:Q4"/>
    <mergeCell ref="R3:R4"/>
    <mergeCell ref="S3:S4"/>
    <mergeCell ref="P1:R1"/>
    <mergeCell ref="A3:A4"/>
    <mergeCell ref="B3:B4"/>
    <mergeCell ref="D3:D4"/>
    <mergeCell ref="E3:E4"/>
    <mergeCell ref="F3:F4"/>
    <mergeCell ref="C1:E1"/>
    <mergeCell ref="G1:I1"/>
    <mergeCell ref="L1:N1"/>
    <mergeCell ref="N3:N4"/>
    <mergeCell ref="H3:H4"/>
    <mergeCell ref="I3:I4"/>
    <mergeCell ref="J3:J4"/>
    <mergeCell ref="K3:K4"/>
    <mergeCell ref="M3:M4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5"/>
  <cols>
    <col min="1" max="1" width="49.54296875" bestFit="1" customWidth="1"/>
    <col min="3" max="3" width="2.90625" customWidth="1"/>
    <col min="5" max="5" width="2.90625" customWidth="1"/>
    <col min="6" max="6" width="9.90625" bestFit="1" customWidth="1"/>
    <col min="7" max="7" width="2.54296875" customWidth="1"/>
    <col min="9" max="10" width="9.08984375" style="100"/>
    <col min="14" max="14" width="14.08984375" bestFit="1" customWidth="1"/>
    <col min="16" max="16" width="10.90625" bestFit="1" customWidth="1"/>
  </cols>
  <sheetData>
    <row r="1" spans="1:10" ht="15" thickBot="1">
      <c r="A1" s="201"/>
      <c r="B1" s="407" t="s">
        <v>264</v>
      </c>
      <c r="C1" s="407"/>
      <c r="D1" s="407"/>
      <c r="E1" s="50"/>
      <c r="F1" s="407" t="s">
        <v>265</v>
      </c>
      <c r="G1" s="407"/>
      <c r="H1" s="407"/>
    </row>
    <row r="2" spans="1:10">
      <c r="A2" s="201"/>
      <c r="B2" s="50"/>
      <c r="C2" s="202"/>
      <c r="D2" s="203"/>
      <c r="E2" s="50"/>
      <c r="F2" s="50"/>
      <c r="G2" s="202"/>
      <c r="H2" s="203"/>
    </row>
    <row r="3" spans="1:10" ht="15" thickBot="1">
      <c r="A3" s="201"/>
      <c r="B3" s="204"/>
      <c r="C3" s="50"/>
      <c r="D3" s="204">
        <v>2013</v>
      </c>
      <c r="E3" s="50"/>
      <c r="F3" s="204"/>
      <c r="G3" s="50"/>
      <c r="H3" s="204">
        <v>2013</v>
      </c>
      <c r="I3" s="205">
        <v>2012</v>
      </c>
      <c r="J3" s="205">
        <v>2013</v>
      </c>
    </row>
    <row r="4" spans="1:10">
      <c r="A4" s="201"/>
      <c r="B4" s="50"/>
      <c r="C4" s="50"/>
      <c r="D4" s="50"/>
      <c r="E4" s="50"/>
      <c r="F4" s="50"/>
      <c r="G4" s="50"/>
      <c r="H4" s="50"/>
    </row>
    <row r="5" spans="1:10">
      <c r="A5" s="206" t="s">
        <v>266</v>
      </c>
      <c r="B5" s="207"/>
      <c r="C5" s="207"/>
      <c r="D5" s="207"/>
      <c r="E5" s="207"/>
      <c r="F5" s="208">
        <v>67326</v>
      </c>
      <c r="G5" s="207"/>
      <c r="H5" s="209">
        <v>59182</v>
      </c>
    </row>
    <row r="6" spans="1:10" ht="15" thickBot="1">
      <c r="A6" s="206" t="s">
        <v>267</v>
      </c>
      <c r="B6" s="210"/>
      <c r="C6" s="207"/>
      <c r="D6" s="210"/>
      <c r="E6" s="207"/>
      <c r="F6" s="211">
        <v>-30550</v>
      </c>
      <c r="G6" s="212"/>
      <c r="H6" s="211">
        <v>-27197</v>
      </c>
      <c r="I6" s="100">
        <f>H6/H5</f>
        <v>-0.45954851137170083</v>
      </c>
      <c r="J6" s="100">
        <f>F6/F5</f>
        <v>-0.45376229094257792</v>
      </c>
    </row>
    <row r="7" spans="1:10">
      <c r="A7" s="201"/>
      <c r="B7" s="207"/>
      <c r="C7" s="207"/>
      <c r="D7" s="207"/>
      <c r="E7" s="207"/>
      <c r="F7" s="208"/>
      <c r="G7" s="207"/>
      <c r="H7" s="207"/>
    </row>
    <row r="8" spans="1:10">
      <c r="A8" s="213" t="s">
        <v>257</v>
      </c>
      <c r="B8" s="207"/>
      <c r="C8" s="207"/>
      <c r="D8" s="207"/>
      <c r="E8" s="207"/>
      <c r="F8" s="208">
        <f>SUM(F5:F7)</f>
        <v>36776</v>
      </c>
      <c r="G8" s="207"/>
      <c r="H8" s="208">
        <f>SUM(H5:H7)</f>
        <v>31985</v>
      </c>
      <c r="I8" s="100">
        <f>H8/$H$5</f>
        <v>0.54045148862829917</v>
      </c>
      <c r="J8" s="100">
        <f>F8/$F$5</f>
        <v>0.54623770905742208</v>
      </c>
    </row>
    <row r="9" spans="1:10">
      <c r="A9" s="206" t="s">
        <v>268</v>
      </c>
      <c r="B9" s="212"/>
      <c r="C9" s="212"/>
      <c r="D9" s="212"/>
      <c r="E9" s="212"/>
      <c r="F9" s="212">
        <v>-24076</v>
      </c>
      <c r="G9" s="212"/>
      <c r="H9" s="212">
        <v>-23110</v>
      </c>
      <c r="I9" s="100">
        <f t="shared" ref="I9:I25" si="0">H9/$H$5</f>
        <v>-0.39049035179615421</v>
      </c>
      <c r="J9" s="100">
        <f t="shared" ref="J9:J25" si="1">F9/$F$5</f>
        <v>-0.35760330333006562</v>
      </c>
    </row>
    <row r="10" spans="1:10">
      <c r="A10" s="206" t="s">
        <v>269</v>
      </c>
      <c r="B10" s="212">
        <v>-235</v>
      </c>
      <c r="C10" s="212"/>
      <c r="D10" s="214">
        <v>-212</v>
      </c>
      <c r="E10" s="212"/>
      <c r="F10" s="212">
        <v>-8784</v>
      </c>
      <c r="G10" s="212"/>
      <c r="H10" s="212">
        <v>-9158</v>
      </c>
      <c r="I10" s="100">
        <f t="shared" si="0"/>
        <v>-0.15474299618127133</v>
      </c>
      <c r="J10" s="100">
        <f t="shared" si="1"/>
        <v>-0.13046965511095268</v>
      </c>
    </row>
    <row r="11" spans="1:10">
      <c r="A11" s="206" t="s">
        <v>270</v>
      </c>
      <c r="B11" s="212">
        <v>0</v>
      </c>
      <c r="C11" s="212"/>
      <c r="D11" s="214"/>
      <c r="E11" s="212"/>
      <c r="F11" s="212">
        <v>-5400</v>
      </c>
      <c r="G11" s="212"/>
      <c r="H11" s="212">
        <v>-5783</v>
      </c>
      <c r="I11" s="100">
        <f t="shared" si="0"/>
        <v>-9.7715521611300732E-2</v>
      </c>
      <c r="J11" s="100">
        <f t="shared" si="1"/>
        <v>-8.020675519115944E-2</v>
      </c>
    </row>
    <row r="12" spans="1:10" ht="15" thickBot="1">
      <c r="A12" s="206" t="s">
        <v>271</v>
      </c>
      <c r="B12" s="211">
        <v>-5189</v>
      </c>
      <c r="C12" s="215"/>
      <c r="D12" s="216">
        <v>-7607</v>
      </c>
      <c r="E12" s="207"/>
      <c r="F12" s="217"/>
      <c r="G12" s="207"/>
      <c r="H12" s="210"/>
      <c r="I12" s="100">
        <f t="shared" si="0"/>
        <v>0</v>
      </c>
      <c r="J12" s="100">
        <f t="shared" si="1"/>
        <v>0</v>
      </c>
    </row>
    <row r="13" spans="1:10">
      <c r="A13" s="201"/>
      <c r="B13" s="208"/>
      <c r="C13" s="215"/>
      <c r="D13" s="208"/>
      <c r="E13" s="207"/>
      <c r="F13" s="208"/>
      <c r="G13" s="207"/>
      <c r="H13" s="207"/>
      <c r="I13" s="100">
        <f t="shared" si="0"/>
        <v>0</v>
      </c>
      <c r="J13" s="100">
        <f t="shared" si="1"/>
        <v>0</v>
      </c>
    </row>
    <row r="14" spans="1:10">
      <c r="A14" s="213" t="s">
        <v>272</v>
      </c>
      <c r="B14" s="212">
        <f>SUM(B8:B12)</f>
        <v>-5424</v>
      </c>
      <c r="C14" s="212"/>
      <c r="D14" s="212">
        <f>SUM(D8:D12)</f>
        <v>-7819</v>
      </c>
      <c r="E14" s="212"/>
      <c r="F14" s="212">
        <f>SUM(F8:F12)</f>
        <v>-1484</v>
      </c>
      <c r="G14" s="212"/>
      <c r="H14" s="212">
        <f>SUM(H8:H12)</f>
        <v>-6066</v>
      </c>
      <c r="I14" s="100">
        <f t="shared" si="0"/>
        <v>-0.10249738096042715</v>
      </c>
      <c r="J14" s="100">
        <f t="shared" si="1"/>
        <v>-2.2042004574755667E-2</v>
      </c>
    </row>
    <row r="15" spans="1:10">
      <c r="A15" s="206" t="s">
        <v>258</v>
      </c>
      <c r="B15" s="212">
        <v>21</v>
      </c>
      <c r="C15" s="212"/>
      <c r="D15" s="218">
        <v>98</v>
      </c>
      <c r="E15" s="212"/>
      <c r="F15" s="212">
        <v>6370</v>
      </c>
      <c r="G15" s="212"/>
      <c r="H15" s="219">
        <v>3957</v>
      </c>
      <c r="I15" s="100">
        <f t="shared" si="0"/>
        <v>6.6861545740258863E-2</v>
      </c>
      <c r="J15" s="100">
        <f t="shared" si="1"/>
        <v>9.4614264919941779E-2</v>
      </c>
    </row>
    <row r="16" spans="1:10" ht="15" thickBot="1">
      <c r="A16" s="206" t="s">
        <v>259</v>
      </c>
      <c r="B16" s="211"/>
      <c r="C16" s="212"/>
      <c r="D16" s="211"/>
      <c r="E16" s="212"/>
      <c r="F16" s="211">
        <v>-8870</v>
      </c>
      <c r="G16" s="212"/>
      <c r="H16" s="211">
        <v>-2569</v>
      </c>
      <c r="I16" s="100">
        <f t="shared" si="0"/>
        <v>-4.3408468791186511E-2</v>
      </c>
      <c r="J16" s="100">
        <f t="shared" si="1"/>
        <v>-0.13174702195288596</v>
      </c>
    </row>
    <row r="17" spans="1:10">
      <c r="A17" s="201"/>
      <c r="B17" s="208"/>
      <c r="C17" s="215"/>
      <c r="D17" s="208"/>
      <c r="E17" s="207"/>
      <c r="F17" s="208"/>
      <c r="G17" s="207"/>
      <c r="H17" s="207"/>
      <c r="I17" s="100">
        <f t="shared" si="0"/>
        <v>0</v>
      </c>
      <c r="J17" s="100">
        <f t="shared" si="1"/>
        <v>0</v>
      </c>
    </row>
    <row r="18" spans="1:10" ht="15" thickBot="1">
      <c r="A18" s="213" t="s">
        <v>273</v>
      </c>
      <c r="B18" s="217">
        <f>SUM(B15:B16)</f>
        <v>21</v>
      </c>
      <c r="C18" s="215"/>
      <c r="D18" s="217">
        <f>SUM(D15:D16)</f>
        <v>98</v>
      </c>
      <c r="E18" s="207"/>
      <c r="F18" s="217">
        <f>SUM(F15:F16)</f>
        <v>-2500</v>
      </c>
      <c r="G18" s="207"/>
      <c r="H18" s="217">
        <f>SUM(H15:H16)</f>
        <v>1388</v>
      </c>
      <c r="I18" s="100">
        <f t="shared" si="0"/>
        <v>2.3453076949072352E-2</v>
      </c>
      <c r="J18" s="100">
        <f t="shared" si="1"/>
        <v>-3.7132757032944184E-2</v>
      </c>
    </row>
    <row r="19" spans="1:10">
      <c r="A19" s="201"/>
      <c r="B19" s="208"/>
      <c r="C19" s="215"/>
      <c r="D19" s="208"/>
      <c r="E19" s="207"/>
      <c r="F19" s="208"/>
      <c r="G19" s="207"/>
      <c r="H19" s="207"/>
      <c r="I19" s="100">
        <f t="shared" si="0"/>
        <v>0</v>
      </c>
      <c r="J19" s="100">
        <f t="shared" si="1"/>
        <v>0</v>
      </c>
    </row>
    <row r="20" spans="1:10">
      <c r="A20" s="213" t="s">
        <v>260</v>
      </c>
      <c r="B20" s="212">
        <f>B14+B18</f>
        <v>-5403</v>
      </c>
      <c r="C20" s="212"/>
      <c r="D20" s="212">
        <f>D14+D18</f>
        <v>-7721</v>
      </c>
      <c r="E20" s="212"/>
      <c r="F20" s="212">
        <f>F14+F18</f>
        <v>-3984</v>
      </c>
      <c r="G20" s="212"/>
      <c r="H20" s="212">
        <f>H14+H18</f>
        <v>-4678</v>
      </c>
      <c r="I20" s="100">
        <f t="shared" si="0"/>
        <v>-7.9044304011354802E-2</v>
      </c>
      <c r="J20" s="100">
        <f t="shared" si="1"/>
        <v>-5.9174761607699848E-2</v>
      </c>
    </row>
    <row r="21" spans="1:10">
      <c r="A21" s="206" t="s">
        <v>261</v>
      </c>
      <c r="B21" s="212"/>
      <c r="C21" s="212"/>
      <c r="D21" s="212"/>
      <c r="E21" s="212"/>
      <c r="F21" s="212"/>
      <c r="G21" s="212"/>
      <c r="H21" s="212"/>
      <c r="I21" s="100">
        <f t="shared" si="0"/>
        <v>0</v>
      </c>
      <c r="J21" s="100">
        <f t="shared" si="1"/>
        <v>0</v>
      </c>
    </row>
    <row r="22" spans="1:10">
      <c r="A22" s="206" t="s">
        <v>274</v>
      </c>
      <c r="B22" s="212"/>
      <c r="C22" s="212"/>
      <c r="D22" s="212"/>
      <c r="E22" s="212"/>
      <c r="F22" s="212">
        <v>-2049</v>
      </c>
      <c r="G22" s="212"/>
      <c r="H22" s="219">
        <v>-921</v>
      </c>
      <c r="I22" s="100">
        <f t="shared" si="0"/>
        <v>-1.5562164171538644E-2</v>
      </c>
      <c r="J22" s="100">
        <f t="shared" si="1"/>
        <v>-3.0434007664201051E-2</v>
      </c>
    </row>
    <row r="23" spans="1:10" ht="15" thickBot="1">
      <c r="A23" s="206" t="s">
        <v>275</v>
      </c>
      <c r="B23" s="211"/>
      <c r="C23" s="212"/>
      <c r="D23" s="211"/>
      <c r="E23" s="212"/>
      <c r="F23" s="211">
        <v>615</v>
      </c>
      <c r="G23" s="212"/>
      <c r="H23" s="211">
        <v>-2163</v>
      </c>
      <c r="I23" s="100">
        <f t="shared" si="0"/>
        <v>-3.6548274813287825E-2</v>
      </c>
      <c r="J23" s="100">
        <f t="shared" si="1"/>
        <v>9.1346582301042693E-3</v>
      </c>
    </row>
    <row r="24" spans="1:10">
      <c r="A24" s="201"/>
      <c r="B24" s="208"/>
      <c r="C24" s="215"/>
      <c r="D24" s="208"/>
      <c r="E24" s="207"/>
      <c r="F24" s="208"/>
      <c r="G24" s="207"/>
      <c r="H24" s="207"/>
      <c r="I24" s="100">
        <f t="shared" si="0"/>
        <v>0</v>
      </c>
      <c r="J24" s="100">
        <f t="shared" si="1"/>
        <v>0</v>
      </c>
    </row>
    <row r="25" spans="1:10" ht="15" thickBot="1">
      <c r="A25" s="213" t="s">
        <v>276</v>
      </c>
      <c r="B25" s="220">
        <f>SUM(B20:B24)</f>
        <v>-5403</v>
      </c>
      <c r="C25" s="215"/>
      <c r="D25" s="220">
        <f>SUM(D20:D24)</f>
        <v>-7721</v>
      </c>
      <c r="E25" s="207"/>
      <c r="F25" s="220">
        <f>SUM(F20:F24)</f>
        <v>-5418</v>
      </c>
      <c r="G25" s="207"/>
      <c r="H25" s="220">
        <f>SUM(H20:H24)</f>
        <v>-7762</v>
      </c>
      <c r="I25" s="100">
        <f t="shared" si="0"/>
        <v>-0.13115474299618127</v>
      </c>
      <c r="J25" s="100">
        <f t="shared" si="1"/>
        <v>-8.0474111041796637E-2</v>
      </c>
    </row>
    <row r="26" spans="1:10" ht="15" thickTop="1">
      <c r="A26" s="201"/>
      <c r="B26" s="208"/>
      <c r="C26" s="215"/>
      <c r="D26" s="208"/>
      <c r="E26" s="207"/>
      <c r="F26" s="208"/>
      <c r="G26" s="207"/>
      <c r="H26" s="207"/>
    </row>
    <row r="27" spans="1:10">
      <c r="A27" s="201"/>
      <c r="B27" s="208"/>
      <c r="C27" s="215"/>
      <c r="D27" s="208"/>
      <c r="E27" s="207"/>
      <c r="F27" s="207"/>
      <c r="G27" s="207"/>
      <c r="H27" s="207"/>
    </row>
    <row r="28" spans="1:10">
      <c r="A28" s="213" t="s">
        <v>262</v>
      </c>
      <c r="B28" s="412"/>
      <c r="C28" s="413"/>
      <c r="D28" s="412"/>
      <c r="E28" s="409"/>
      <c r="F28" s="212"/>
      <c r="G28" s="212"/>
      <c r="H28" s="212"/>
    </row>
    <row r="29" spans="1:10">
      <c r="A29" s="213"/>
      <c r="B29" s="412"/>
      <c r="C29" s="413"/>
      <c r="D29" s="412"/>
      <c r="E29" s="409"/>
      <c r="F29" s="212"/>
      <c r="G29" s="212"/>
      <c r="H29" s="212"/>
    </row>
    <row r="30" spans="1:10">
      <c r="A30" s="206" t="s">
        <v>263</v>
      </c>
      <c r="B30" s="412"/>
      <c r="C30" s="413"/>
      <c r="D30" s="412"/>
      <c r="E30" s="409"/>
      <c r="F30" s="212">
        <v>-5403</v>
      </c>
      <c r="G30" s="212"/>
      <c r="H30" s="209">
        <v>-7721</v>
      </c>
    </row>
    <row r="31" spans="1:10">
      <c r="A31" s="206" t="s">
        <v>70</v>
      </c>
      <c r="B31" s="221"/>
      <c r="C31" s="222"/>
      <c r="D31" s="221"/>
      <c r="E31" s="50"/>
      <c r="F31" s="212">
        <v>-15</v>
      </c>
      <c r="G31" s="212"/>
      <c r="H31" s="214">
        <v>-41</v>
      </c>
    </row>
    <row r="32" spans="1:10" ht="15" thickBot="1">
      <c r="A32" s="201"/>
      <c r="B32" s="221"/>
      <c r="C32" s="222"/>
      <c r="D32" s="221"/>
      <c r="E32" s="50"/>
      <c r="F32" s="223"/>
      <c r="G32" s="50"/>
      <c r="H32" s="223"/>
    </row>
    <row r="33" spans="1:16">
      <c r="A33" s="201"/>
      <c r="B33" s="221"/>
      <c r="C33" s="222"/>
      <c r="D33" s="221"/>
      <c r="E33" s="50"/>
      <c r="F33" s="50"/>
      <c r="G33" s="50"/>
      <c r="H33" s="50"/>
    </row>
    <row r="34" spans="1:16" ht="15" thickBot="1">
      <c r="A34" s="201"/>
      <c r="B34" s="221"/>
      <c r="C34" s="222"/>
      <c r="D34" s="221"/>
      <c r="E34" s="50"/>
      <c r="F34" s="224">
        <f>SUM(F28:F32)</f>
        <v>-5418</v>
      </c>
      <c r="G34" s="50"/>
      <c r="H34" s="224">
        <f>SUM(H28:H32)</f>
        <v>-7762</v>
      </c>
    </row>
    <row r="35" spans="1:16" ht="109.5" customHeight="1" thickTop="1">
      <c r="A35" s="202" t="s">
        <v>277</v>
      </c>
      <c r="B35" s="221"/>
      <c r="C35" s="222"/>
      <c r="D35" s="221"/>
      <c r="E35" s="50"/>
      <c r="F35" s="50"/>
      <c r="G35" s="50"/>
      <c r="H35" s="50"/>
    </row>
    <row r="36" spans="1:16" ht="48.75" customHeight="1">
      <c r="A36" s="202" t="s">
        <v>278</v>
      </c>
      <c r="B36" s="221"/>
      <c r="C36" s="222"/>
      <c r="D36" s="221"/>
      <c r="E36" s="50"/>
      <c r="F36" s="50"/>
      <c r="G36" s="50"/>
      <c r="H36" s="50"/>
    </row>
    <row r="37" spans="1:16">
      <c r="A37" s="50"/>
      <c r="B37" s="221"/>
      <c r="C37" s="222"/>
      <c r="D37" s="221"/>
      <c r="E37" s="50"/>
      <c r="F37" s="50"/>
      <c r="G37" s="50"/>
      <c r="H37" s="50"/>
      <c r="L37" t="s">
        <v>279</v>
      </c>
    </row>
    <row r="38" spans="1:16">
      <c r="A38" s="213" t="s">
        <v>280</v>
      </c>
      <c r="B38" s="221"/>
      <c r="C38" s="222"/>
      <c r="D38" s="221"/>
      <c r="E38" s="50"/>
      <c r="F38" s="50"/>
      <c r="G38" s="50"/>
      <c r="H38" s="50"/>
      <c r="L38" t="s">
        <v>281</v>
      </c>
      <c r="N38" s="200">
        <v>77473553.7675841</v>
      </c>
      <c r="O38" t="s">
        <v>282</v>
      </c>
      <c r="P38" s="225">
        <v>41639</v>
      </c>
    </row>
    <row r="39" spans="1:16" ht="15" thickBot="1">
      <c r="A39" s="206" t="s">
        <v>283</v>
      </c>
      <c r="B39" s="221"/>
      <c r="C39" s="222"/>
      <c r="D39" s="221"/>
      <c r="E39" s="50"/>
      <c r="F39" s="226">
        <f>F30/(N38/1000)</f>
        <v>-6.973992720417431E-2</v>
      </c>
      <c r="G39" s="50"/>
      <c r="H39" s="227">
        <v>-0.108</v>
      </c>
      <c r="L39" t="s">
        <v>284</v>
      </c>
      <c r="N39" s="200"/>
    </row>
    <row r="40" spans="1:16" ht="15" thickTop="1">
      <c r="A40" s="201"/>
      <c r="B40" s="50"/>
      <c r="C40" s="50"/>
      <c r="D40" s="50"/>
      <c r="E40" s="50"/>
      <c r="F40" s="228"/>
      <c r="G40" s="50"/>
      <c r="H40" s="50"/>
      <c r="L40" t="s">
        <v>285</v>
      </c>
      <c r="N40" s="200">
        <v>3050178.8136986303</v>
      </c>
    </row>
    <row r="41" spans="1:16">
      <c r="A41" s="213" t="s">
        <v>286</v>
      </c>
      <c r="B41" s="50"/>
      <c r="C41" s="50"/>
      <c r="D41" s="50"/>
      <c r="E41" s="50"/>
      <c r="F41" s="228"/>
      <c r="G41" s="50"/>
      <c r="H41" s="50"/>
    </row>
    <row r="42" spans="1:16" ht="15" thickBot="1">
      <c r="A42" s="206" t="s">
        <v>287</v>
      </c>
      <c r="B42" s="50"/>
      <c r="C42" s="50"/>
      <c r="D42" s="50"/>
      <c r="E42" s="50"/>
      <c r="F42" s="226">
        <f>F30/(N42/1000)</f>
        <v>-6.7098230879276147E-2</v>
      </c>
      <c r="G42" s="50"/>
      <c r="H42" s="227">
        <v>-9.6000000000000002E-2</v>
      </c>
      <c r="L42" t="s">
        <v>288</v>
      </c>
      <c r="N42" s="229">
        <f>SUM(N38:N40)</f>
        <v>80523732.581282735</v>
      </c>
    </row>
    <row r="43" spans="1:16" ht="15" thickTop="1">
      <c r="F43" s="230"/>
    </row>
    <row r="44" spans="1:16">
      <c r="F44" s="230"/>
      <c r="L44" t="s">
        <v>289</v>
      </c>
      <c r="N44" s="231">
        <f>G36/(N38/1000)</f>
        <v>0</v>
      </c>
    </row>
    <row r="45" spans="1:16">
      <c r="L45" t="s">
        <v>290</v>
      </c>
      <c r="N45" s="231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08984375" defaultRowHeight="12.5"/>
  <cols>
    <col min="1" max="1" width="56.90625" style="101" bestFit="1" customWidth="1"/>
    <col min="2" max="2" width="2.90625" style="101" customWidth="1"/>
    <col min="3" max="3" width="10.90625" style="101" bestFit="1" customWidth="1"/>
    <col min="4" max="4" width="7.54296875" style="101" bestFit="1" customWidth="1"/>
    <col min="5" max="5" width="9.08984375" style="101" bestFit="1" customWidth="1"/>
    <col min="6" max="6" width="9.90625" style="101" bestFit="1" customWidth="1"/>
    <col min="7" max="7" width="7.08984375" style="101" bestFit="1" customWidth="1"/>
    <col min="8" max="8" width="9.08984375" style="101" bestFit="1" customWidth="1"/>
    <col min="9" max="9" width="10.08984375" style="101" bestFit="1" customWidth="1"/>
    <col min="10" max="10" width="15.90625" style="101" customWidth="1"/>
    <col min="11" max="11" width="16.54296875" style="101" customWidth="1"/>
    <col min="12" max="12" width="14.54296875" style="101" customWidth="1"/>
    <col min="13" max="14" width="14.54296875" style="101" hidden="1" customWidth="1"/>
    <col min="15" max="15" width="9.08984375" style="101" hidden="1" customWidth="1"/>
    <col min="16" max="16" width="15.453125" style="101" hidden="1" customWidth="1"/>
    <col min="17" max="18" width="9.08984375" style="101" hidden="1" customWidth="1"/>
    <col min="19" max="19" width="4.90625" style="101" hidden="1" customWidth="1"/>
    <col min="20" max="20" width="41.08984375" style="101" hidden="1" customWidth="1"/>
    <col min="21" max="21" width="12.90625" style="101" hidden="1" customWidth="1"/>
    <col min="22" max="22" width="26.08984375" style="101" hidden="1" customWidth="1"/>
    <col min="23" max="23" width="4.90625" style="101" hidden="1" customWidth="1"/>
    <col min="24" max="25" width="11" style="101" hidden="1" customWidth="1"/>
    <col min="26" max="26" width="0" style="101" hidden="1" customWidth="1"/>
    <col min="27" max="27" width="43" style="101" customWidth="1"/>
    <col min="28" max="28" width="4" style="101" customWidth="1"/>
    <col min="29" max="29" width="10.08984375" style="101" bestFit="1" customWidth="1"/>
    <col min="30" max="16384" width="9.08984375" style="101"/>
  </cols>
  <sheetData>
    <row r="1" spans="1:18" ht="13">
      <c r="A1" s="180" t="s">
        <v>71</v>
      </c>
      <c r="B1" s="152"/>
      <c r="C1" s="152"/>
      <c r="D1" s="152"/>
      <c r="E1" s="152"/>
      <c r="F1" s="152"/>
      <c r="G1" s="152"/>
      <c r="H1" s="152"/>
      <c r="I1" s="152"/>
      <c r="J1" s="152"/>
      <c r="K1" s="168">
        <v>41743.60204849537</v>
      </c>
      <c r="L1" s="152"/>
      <c r="M1" s="152"/>
      <c r="N1" s="152"/>
      <c r="O1" s="152"/>
      <c r="P1" s="152"/>
      <c r="Q1" s="152"/>
      <c r="R1" s="152"/>
    </row>
    <row r="2" spans="1:18" ht="13">
      <c r="A2" s="180" t="s">
        <v>72</v>
      </c>
      <c r="B2" s="152"/>
      <c r="C2" s="167">
        <v>41729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3">
      <c r="A4" s="152"/>
      <c r="B4" s="152"/>
      <c r="C4" s="193" t="s">
        <v>73</v>
      </c>
      <c r="D4" s="152" t="s">
        <v>74</v>
      </c>
      <c r="E4" s="163" t="s">
        <v>75</v>
      </c>
      <c r="F4" s="163" t="s">
        <v>76</v>
      </c>
      <c r="G4" s="163" t="s">
        <v>77</v>
      </c>
      <c r="H4" s="173" t="s">
        <v>78</v>
      </c>
      <c r="I4" s="152" t="s">
        <v>79</v>
      </c>
      <c r="J4" s="181" t="s">
        <v>80</v>
      </c>
      <c r="K4" s="163" t="s">
        <v>81</v>
      </c>
      <c r="L4" s="152"/>
      <c r="M4" s="152"/>
      <c r="N4" s="152"/>
      <c r="O4" s="152"/>
      <c r="P4" s="152"/>
      <c r="Q4" s="152"/>
      <c r="R4" s="152"/>
    </row>
    <row r="5" spans="1:18" ht="13">
      <c r="A5" s="152" t="s">
        <v>82</v>
      </c>
      <c r="B5" s="152"/>
      <c r="C5" s="194">
        <v>41729</v>
      </c>
      <c r="D5" s="164">
        <v>41729</v>
      </c>
      <c r="E5" s="190">
        <v>41729</v>
      </c>
      <c r="F5" s="190">
        <v>41729</v>
      </c>
      <c r="G5" s="190">
        <v>41729</v>
      </c>
      <c r="H5" s="190">
        <v>41729</v>
      </c>
      <c r="I5" s="190">
        <v>41729</v>
      </c>
      <c r="J5" s="182" t="s">
        <v>83</v>
      </c>
      <c r="K5" s="165" t="s">
        <v>84</v>
      </c>
      <c r="L5" s="197" t="s">
        <v>85</v>
      </c>
      <c r="M5" s="166" t="s">
        <v>86</v>
      </c>
      <c r="N5" s="166" t="s">
        <v>73</v>
      </c>
      <c r="O5" s="166" t="s">
        <v>87</v>
      </c>
      <c r="P5" s="166" t="s">
        <v>75</v>
      </c>
      <c r="Q5" s="166" t="s">
        <v>88</v>
      </c>
      <c r="R5" s="169" t="s">
        <v>89</v>
      </c>
    </row>
    <row r="7" spans="1:18">
      <c r="A7" s="152"/>
      <c r="B7" s="152"/>
      <c r="C7" s="184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18">
      <c r="A8" s="152"/>
      <c r="B8" s="153"/>
      <c r="C8" s="153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18">
      <c r="A9" s="152" t="s">
        <v>90</v>
      </c>
      <c r="B9" s="153"/>
      <c r="C9" s="153">
        <v>47067</v>
      </c>
      <c r="D9" s="153">
        <v>6</v>
      </c>
      <c r="E9" s="153">
        <v>3228</v>
      </c>
      <c r="F9" s="153">
        <v>1623</v>
      </c>
      <c r="G9" s="153">
        <v>-2</v>
      </c>
      <c r="H9" s="153">
        <v>0</v>
      </c>
      <c r="I9" s="153">
        <v>51922</v>
      </c>
      <c r="J9" s="153"/>
      <c r="K9" s="160"/>
      <c r="L9" s="160">
        <v>51922</v>
      </c>
      <c r="M9" s="160"/>
      <c r="N9" s="160">
        <v>47067</v>
      </c>
      <c r="O9" s="160"/>
      <c r="P9" s="160">
        <v>3228</v>
      </c>
      <c r="Q9" s="160"/>
      <c r="R9" s="160">
        <v>1623</v>
      </c>
    </row>
    <row r="10" spans="1:18">
      <c r="A10" s="152" t="s">
        <v>91</v>
      </c>
      <c r="B10" s="153"/>
      <c r="C10" s="184">
        <v>2765</v>
      </c>
      <c r="D10" s="153">
        <v>6</v>
      </c>
      <c r="E10" s="153">
        <v>2436</v>
      </c>
      <c r="F10" s="153">
        <v>1623</v>
      </c>
      <c r="G10" s="153">
        <v>-2</v>
      </c>
      <c r="H10" s="153"/>
      <c r="I10" s="160">
        <v>6828</v>
      </c>
      <c r="J10" s="160"/>
      <c r="K10" s="152"/>
      <c r="L10" s="160">
        <v>6828</v>
      </c>
      <c r="M10" s="160"/>
      <c r="N10" s="160">
        <v>2765</v>
      </c>
      <c r="O10" s="160"/>
      <c r="P10" s="160">
        <v>2436</v>
      </c>
      <c r="Q10" s="160"/>
      <c r="R10" s="160">
        <v>1623</v>
      </c>
    </row>
    <row r="11" spans="1:18">
      <c r="A11" s="152" t="s">
        <v>92</v>
      </c>
      <c r="B11" s="153"/>
      <c r="C11" s="172">
        <v>44302</v>
      </c>
      <c r="D11" s="152"/>
      <c r="E11" s="153">
        <v>792</v>
      </c>
      <c r="F11" s="153"/>
      <c r="G11" s="153"/>
      <c r="H11" s="153"/>
      <c r="I11" s="160">
        <v>45094</v>
      </c>
      <c r="J11" s="160"/>
      <c r="K11" s="152"/>
      <c r="L11" s="160">
        <v>45094</v>
      </c>
      <c r="M11" s="160"/>
      <c r="N11" s="160">
        <v>44302</v>
      </c>
      <c r="O11" s="160"/>
      <c r="P11" s="160">
        <v>792</v>
      </c>
      <c r="Q11" s="160"/>
      <c r="R11" s="160">
        <v>0</v>
      </c>
    </row>
    <row r="12" spans="1:18">
      <c r="A12" s="159" t="s">
        <v>93</v>
      </c>
      <c r="B12" s="153"/>
      <c r="C12" s="153"/>
      <c r="D12" s="152"/>
      <c r="E12" s="153"/>
      <c r="F12" s="153"/>
      <c r="G12" s="153"/>
      <c r="H12" s="153"/>
      <c r="I12" s="160">
        <v>0</v>
      </c>
      <c r="J12" s="160"/>
      <c r="K12" s="152"/>
      <c r="L12" s="160">
        <v>0</v>
      </c>
      <c r="M12" s="160"/>
      <c r="N12" s="160">
        <v>0</v>
      </c>
      <c r="O12" s="160"/>
      <c r="P12" s="160">
        <v>0</v>
      </c>
      <c r="Q12" s="160"/>
      <c r="R12" s="160">
        <v>0</v>
      </c>
    </row>
    <row r="13" spans="1:18">
      <c r="A13" s="152" t="s">
        <v>94</v>
      </c>
      <c r="B13" s="153"/>
      <c r="C13" s="188">
        <v>196506</v>
      </c>
      <c r="D13" s="152"/>
      <c r="E13" s="153">
        <v>2697</v>
      </c>
      <c r="F13" s="152"/>
      <c r="G13" s="153">
        <v>239</v>
      </c>
      <c r="H13" s="153"/>
      <c r="I13" s="160">
        <v>199442</v>
      </c>
      <c r="J13" s="160"/>
      <c r="K13" s="153">
        <v>6013</v>
      </c>
      <c r="L13" s="160">
        <v>193429</v>
      </c>
      <c r="M13" s="160"/>
      <c r="N13" s="160">
        <v>196506</v>
      </c>
      <c r="O13" s="160"/>
      <c r="P13" s="160">
        <v>2697</v>
      </c>
      <c r="Q13" s="160"/>
      <c r="R13" s="160">
        <v>0</v>
      </c>
    </row>
    <row r="14" spans="1:18">
      <c r="A14" s="152" t="s">
        <v>95</v>
      </c>
      <c r="B14" s="153"/>
      <c r="C14" s="188">
        <v>-3365</v>
      </c>
      <c r="D14" s="152"/>
      <c r="E14" s="153"/>
      <c r="F14" s="152"/>
      <c r="G14" s="152"/>
      <c r="H14" s="153"/>
      <c r="I14" s="160">
        <v>-3365</v>
      </c>
      <c r="J14" s="160"/>
      <c r="K14" s="153"/>
      <c r="L14" s="160">
        <v>-3365</v>
      </c>
      <c r="M14" s="160"/>
      <c r="N14" s="160">
        <v>-3365</v>
      </c>
      <c r="O14" s="160"/>
      <c r="P14" s="160">
        <v>0</v>
      </c>
      <c r="Q14" s="160"/>
      <c r="R14" s="160">
        <v>0</v>
      </c>
    </row>
    <row r="15" spans="1:18">
      <c r="A15" s="152" t="s">
        <v>96</v>
      </c>
      <c r="B15" s="153"/>
      <c r="C15" s="199">
        <v>181336</v>
      </c>
      <c r="D15" s="152"/>
      <c r="E15" s="153">
        <v>4930</v>
      </c>
      <c r="F15" s="152"/>
      <c r="G15" s="152"/>
      <c r="H15" s="153"/>
      <c r="I15" s="160">
        <v>186266</v>
      </c>
      <c r="J15" s="160">
        <v>0</v>
      </c>
      <c r="K15" s="172">
        <v>2470</v>
      </c>
      <c r="L15" s="160">
        <v>183796</v>
      </c>
      <c r="M15" s="160"/>
      <c r="N15" s="160">
        <v>181336</v>
      </c>
      <c r="O15" s="160"/>
      <c r="P15" s="160">
        <v>4930</v>
      </c>
      <c r="Q15" s="160"/>
      <c r="R15" s="160">
        <v>0</v>
      </c>
    </row>
    <row r="16" spans="1:18">
      <c r="A16" s="152" t="s">
        <v>97</v>
      </c>
      <c r="B16" s="153"/>
      <c r="C16" s="172">
        <v>12573</v>
      </c>
      <c r="D16" s="152"/>
      <c r="E16" s="153">
        <v>469</v>
      </c>
      <c r="F16" s="153">
        <v>1073</v>
      </c>
      <c r="G16" s="153">
        <v>9</v>
      </c>
      <c r="H16" s="153"/>
      <c r="I16" s="160">
        <v>14124</v>
      </c>
      <c r="J16" s="160"/>
      <c r="K16" s="153"/>
      <c r="L16" s="160">
        <v>14124</v>
      </c>
      <c r="M16" s="160"/>
      <c r="N16" s="160">
        <v>12573</v>
      </c>
      <c r="O16" s="160"/>
      <c r="P16" s="160">
        <v>469</v>
      </c>
      <c r="Q16" s="160"/>
      <c r="R16" s="160">
        <v>1073</v>
      </c>
    </row>
    <row r="17" spans="1:18">
      <c r="A17" s="159" t="s">
        <v>98</v>
      </c>
      <c r="B17" s="153"/>
      <c r="C17" s="172"/>
      <c r="D17" s="152"/>
      <c r="E17" s="153"/>
      <c r="F17" s="152"/>
      <c r="G17" s="153"/>
      <c r="H17" s="153"/>
      <c r="I17" s="160">
        <v>0</v>
      </c>
      <c r="J17" s="160"/>
      <c r="K17" s="153"/>
      <c r="L17" s="160">
        <v>0</v>
      </c>
      <c r="M17" s="160"/>
      <c r="N17" s="160">
        <v>0</v>
      </c>
      <c r="O17" s="160"/>
      <c r="P17" s="160">
        <v>0</v>
      </c>
      <c r="Q17" s="160"/>
      <c r="R17" s="160">
        <v>0</v>
      </c>
    </row>
    <row r="18" spans="1:18">
      <c r="A18" s="152" t="s">
        <v>99</v>
      </c>
      <c r="B18" s="153"/>
      <c r="C18" s="170">
        <v>4454</v>
      </c>
      <c r="D18" s="152"/>
      <c r="E18" s="153"/>
      <c r="F18" s="152"/>
      <c r="G18" s="153"/>
      <c r="H18" s="153"/>
      <c r="I18" s="160">
        <v>4454</v>
      </c>
      <c r="J18" s="160"/>
      <c r="K18" s="153"/>
      <c r="L18" s="160">
        <v>4454</v>
      </c>
      <c r="M18" s="160"/>
      <c r="N18" s="160">
        <v>4454</v>
      </c>
      <c r="O18" s="160"/>
      <c r="P18" s="160">
        <v>0</v>
      </c>
      <c r="Q18" s="160"/>
      <c r="R18" s="160">
        <v>0</v>
      </c>
    </row>
    <row r="19" spans="1:18">
      <c r="A19" s="152" t="s">
        <v>100</v>
      </c>
      <c r="B19" s="153"/>
      <c r="C19" s="172">
        <v>31914</v>
      </c>
      <c r="D19" s="152"/>
      <c r="E19" s="153">
        <v>618</v>
      </c>
      <c r="F19" s="160">
        <v>2128</v>
      </c>
      <c r="G19" s="153"/>
      <c r="H19" s="153"/>
      <c r="I19" s="160">
        <v>34660</v>
      </c>
      <c r="J19" s="160"/>
      <c r="K19" s="153">
        <v>10979</v>
      </c>
      <c r="L19" s="160">
        <v>23681</v>
      </c>
      <c r="M19" s="160"/>
      <c r="N19" s="160">
        <v>31914</v>
      </c>
      <c r="O19" s="160"/>
      <c r="P19" s="160">
        <v>618</v>
      </c>
      <c r="Q19" s="160"/>
      <c r="R19" s="160">
        <v>2128</v>
      </c>
    </row>
    <row r="20" spans="1:18">
      <c r="A20" s="159" t="s">
        <v>101</v>
      </c>
      <c r="B20" s="153"/>
      <c r="C20" s="174"/>
      <c r="D20" s="162"/>
      <c r="E20" s="154"/>
      <c r="F20" s="174">
        <v>14470</v>
      </c>
      <c r="G20" s="154"/>
      <c r="H20" s="154"/>
      <c r="I20" s="161">
        <v>14470</v>
      </c>
      <c r="J20" s="161"/>
      <c r="K20" s="174">
        <v>14470</v>
      </c>
      <c r="L20" s="161">
        <v>0</v>
      </c>
      <c r="M20" s="162"/>
      <c r="N20" s="161">
        <v>0</v>
      </c>
      <c r="O20" s="154"/>
      <c r="P20" s="161">
        <v>0</v>
      </c>
      <c r="Q20" s="154"/>
      <c r="R20" s="161">
        <v>14470</v>
      </c>
    </row>
    <row r="21" spans="1:18">
      <c r="A21" s="152" t="s">
        <v>102</v>
      </c>
      <c r="B21" s="153"/>
      <c r="C21" s="172">
        <v>470485</v>
      </c>
      <c r="D21" s="153">
        <v>6</v>
      </c>
      <c r="E21" s="153">
        <v>11942</v>
      </c>
      <c r="F21" s="153">
        <v>19294</v>
      </c>
      <c r="G21" s="153">
        <v>246</v>
      </c>
      <c r="H21" s="153">
        <v>0</v>
      </c>
      <c r="I21" s="153">
        <v>501973</v>
      </c>
      <c r="J21" s="153">
        <v>0</v>
      </c>
      <c r="K21" s="153">
        <v>33932</v>
      </c>
      <c r="L21" s="153">
        <v>468041</v>
      </c>
      <c r="M21" s="153">
        <v>0</v>
      </c>
      <c r="N21" s="153">
        <v>470485</v>
      </c>
      <c r="O21" s="153">
        <v>0</v>
      </c>
      <c r="P21" s="153">
        <v>11942</v>
      </c>
      <c r="Q21" s="153">
        <v>0</v>
      </c>
      <c r="R21" s="153">
        <v>19294</v>
      </c>
    </row>
    <row r="22" spans="1:18">
      <c r="A22" s="152"/>
      <c r="B22" s="153"/>
      <c r="C22" s="17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18">
      <c r="A23" s="152" t="s">
        <v>103</v>
      </c>
      <c r="B23" s="153"/>
      <c r="C23" s="172">
        <v>8625</v>
      </c>
      <c r="D23" s="152"/>
      <c r="E23" s="153"/>
      <c r="F23" s="152"/>
      <c r="G23" s="153"/>
      <c r="H23" s="153"/>
      <c r="I23" s="160">
        <v>8625</v>
      </c>
      <c r="J23" s="160"/>
      <c r="K23" s="153"/>
      <c r="L23" s="160">
        <v>8625</v>
      </c>
      <c r="M23" s="152"/>
      <c r="N23" s="160">
        <v>8625</v>
      </c>
      <c r="O23" s="152"/>
      <c r="P23" s="160">
        <v>0</v>
      </c>
      <c r="Q23" s="152"/>
      <c r="R23" s="160">
        <v>0</v>
      </c>
    </row>
    <row r="24" spans="1:18">
      <c r="A24" s="159" t="s">
        <v>104</v>
      </c>
      <c r="B24" s="153"/>
      <c r="C24" s="172">
        <v>4570</v>
      </c>
      <c r="D24" s="152"/>
      <c r="E24" s="153"/>
      <c r="F24" s="153"/>
      <c r="G24" s="153"/>
      <c r="H24" s="153"/>
      <c r="I24" s="160">
        <v>4570</v>
      </c>
      <c r="J24" s="160"/>
      <c r="K24" s="153"/>
      <c r="L24" s="160">
        <v>4570</v>
      </c>
      <c r="M24" s="152"/>
      <c r="N24" s="160">
        <v>4570</v>
      </c>
      <c r="O24" s="152"/>
      <c r="P24" s="160">
        <v>0</v>
      </c>
      <c r="Q24" s="152"/>
      <c r="R24" s="160">
        <v>0</v>
      </c>
    </row>
    <row r="25" spans="1:18">
      <c r="A25" s="152" t="s">
        <v>105</v>
      </c>
      <c r="B25" s="152"/>
      <c r="C25" s="172">
        <v>24707</v>
      </c>
      <c r="D25" s="159"/>
      <c r="E25" s="153"/>
      <c r="F25" s="152"/>
      <c r="G25" s="153"/>
      <c r="H25" s="153"/>
      <c r="I25" s="160">
        <v>24707</v>
      </c>
      <c r="J25" s="160"/>
      <c r="K25" s="152"/>
      <c r="L25" s="160">
        <v>24707</v>
      </c>
      <c r="M25" s="160"/>
      <c r="N25" s="160">
        <v>24707</v>
      </c>
      <c r="O25" s="160"/>
      <c r="P25" s="160">
        <v>0</v>
      </c>
      <c r="Q25" s="160"/>
      <c r="R25" s="160">
        <v>0</v>
      </c>
    </row>
    <row r="26" spans="1:18">
      <c r="A26" s="159" t="s">
        <v>106</v>
      </c>
      <c r="B26" s="153"/>
      <c r="C26" s="188">
        <v>7806</v>
      </c>
      <c r="D26" s="152"/>
      <c r="E26" s="153"/>
      <c r="F26" s="152"/>
      <c r="G26" s="153"/>
      <c r="H26" s="153"/>
      <c r="I26" s="160">
        <v>7806</v>
      </c>
      <c r="J26" s="160"/>
      <c r="K26" s="152"/>
      <c r="L26" s="160">
        <v>7806</v>
      </c>
      <c r="M26" s="160"/>
      <c r="N26" s="160">
        <v>7806</v>
      </c>
      <c r="O26" s="160"/>
      <c r="P26" s="160">
        <v>0</v>
      </c>
      <c r="Q26" s="160"/>
      <c r="R26" s="160">
        <v>0</v>
      </c>
    </row>
    <row r="27" spans="1:18">
      <c r="A27" s="152" t="s">
        <v>107</v>
      </c>
      <c r="B27" s="153"/>
      <c r="C27" s="172">
        <v>246</v>
      </c>
      <c r="D27" s="152"/>
      <c r="E27" s="153">
        <v>9</v>
      </c>
      <c r="F27" s="152"/>
      <c r="G27" s="153"/>
      <c r="H27" s="153"/>
      <c r="I27" s="160">
        <v>255</v>
      </c>
      <c r="J27" s="160"/>
      <c r="K27" s="152"/>
      <c r="L27" s="160">
        <v>255</v>
      </c>
      <c r="M27" s="160"/>
      <c r="N27" s="160">
        <v>246</v>
      </c>
      <c r="O27" s="160"/>
      <c r="P27" s="160">
        <v>9</v>
      </c>
      <c r="Q27" s="160"/>
      <c r="R27" s="160">
        <v>0</v>
      </c>
    </row>
    <row r="28" spans="1:18">
      <c r="A28" s="159" t="s">
        <v>108</v>
      </c>
      <c r="B28" s="153"/>
      <c r="C28" s="172">
        <v>2144</v>
      </c>
      <c r="D28" s="152"/>
      <c r="E28" s="153"/>
      <c r="F28" s="152"/>
      <c r="G28" s="153"/>
      <c r="H28" s="153"/>
      <c r="I28" s="160">
        <v>2144</v>
      </c>
      <c r="J28" s="160"/>
      <c r="K28" s="152"/>
      <c r="L28" s="160">
        <v>2144</v>
      </c>
      <c r="M28" s="160"/>
      <c r="N28" s="160">
        <v>2144</v>
      </c>
      <c r="O28" s="160"/>
      <c r="P28" s="160">
        <v>0</v>
      </c>
      <c r="Q28" s="160"/>
      <c r="R28" s="160">
        <v>0</v>
      </c>
    </row>
    <row r="29" spans="1:18">
      <c r="A29" s="159" t="s">
        <v>109</v>
      </c>
      <c r="B29" s="153"/>
      <c r="C29" s="174"/>
      <c r="D29" s="162"/>
      <c r="E29" s="154"/>
      <c r="F29" s="162"/>
      <c r="G29" s="154"/>
      <c r="H29" s="154"/>
      <c r="I29" s="161">
        <v>0</v>
      </c>
      <c r="J29" s="161"/>
      <c r="K29" s="162"/>
      <c r="L29" s="161">
        <v>0</v>
      </c>
      <c r="M29" s="161"/>
      <c r="N29" s="161">
        <v>0</v>
      </c>
      <c r="O29" s="161"/>
      <c r="P29" s="161">
        <v>0</v>
      </c>
      <c r="Q29" s="161"/>
      <c r="R29" s="161">
        <v>0</v>
      </c>
    </row>
    <row r="30" spans="1:18">
      <c r="A30" s="152" t="s">
        <v>110</v>
      </c>
      <c r="B30" s="153"/>
      <c r="C30" s="172">
        <v>48098</v>
      </c>
      <c r="D30" s="153">
        <v>0</v>
      </c>
      <c r="E30" s="153">
        <v>9</v>
      </c>
      <c r="F30" s="153">
        <v>0</v>
      </c>
      <c r="G30" s="153"/>
      <c r="H30" s="153">
        <v>0</v>
      </c>
      <c r="I30" s="153">
        <v>48107</v>
      </c>
      <c r="J30" s="153"/>
      <c r="K30" s="152"/>
      <c r="L30" s="153">
        <v>48107</v>
      </c>
      <c r="M30" s="153">
        <v>0</v>
      </c>
      <c r="N30" s="153">
        <v>48098</v>
      </c>
      <c r="O30" s="153">
        <v>0</v>
      </c>
      <c r="P30" s="153">
        <v>9</v>
      </c>
      <c r="Q30" s="153">
        <v>0</v>
      </c>
      <c r="R30" s="153">
        <v>0</v>
      </c>
    </row>
    <row r="31" spans="1:18">
      <c r="A31" s="152"/>
      <c r="B31" s="153"/>
      <c r="C31" s="172"/>
      <c r="D31" s="152"/>
      <c r="E31" s="153"/>
      <c r="F31" s="152"/>
      <c r="G31" s="153"/>
      <c r="H31" s="153"/>
      <c r="I31" s="152"/>
      <c r="J31" s="152"/>
      <c r="K31" s="152"/>
      <c r="L31" s="152"/>
      <c r="M31" s="152"/>
      <c r="N31" s="152"/>
      <c r="O31" s="152"/>
      <c r="P31" s="152"/>
      <c r="Q31" s="152"/>
      <c r="R31" s="152"/>
    </row>
    <row r="32" spans="1:18">
      <c r="A32" s="152"/>
      <c r="B32" s="152"/>
      <c r="C32" s="152"/>
      <c r="D32" s="152"/>
      <c r="E32" s="153"/>
      <c r="F32" s="152"/>
      <c r="G32" s="153"/>
      <c r="H32" s="153"/>
      <c r="I32" s="152"/>
      <c r="J32" s="152"/>
      <c r="K32" s="152"/>
      <c r="L32" s="152"/>
      <c r="M32" s="152"/>
      <c r="N32" s="152"/>
      <c r="O32" s="152"/>
      <c r="P32" s="152"/>
      <c r="Q32" s="152"/>
      <c r="R32" s="152"/>
    </row>
    <row r="33" spans="1:19">
      <c r="A33" s="152"/>
      <c r="B33" s="153"/>
      <c r="C33" s="172"/>
      <c r="D33" s="152"/>
      <c r="E33" s="153"/>
      <c r="F33" s="152"/>
      <c r="G33" s="153"/>
      <c r="H33" s="153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</row>
    <row r="34" spans="1:19">
      <c r="A34" s="152" t="s">
        <v>111</v>
      </c>
      <c r="B34" s="153"/>
      <c r="C34" s="172">
        <v>58</v>
      </c>
      <c r="D34" s="152"/>
      <c r="E34" s="112">
        <v>0</v>
      </c>
      <c r="F34" s="172">
        <v>350886</v>
      </c>
      <c r="G34" s="153">
        <v>0</v>
      </c>
      <c r="H34" s="153"/>
      <c r="I34" s="160">
        <v>350944</v>
      </c>
      <c r="J34" s="160"/>
      <c r="K34" s="153">
        <v>350944</v>
      </c>
      <c r="L34" s="160">
        <v>0</v>
      </c>
      <c r="M34" s="160"/>
      <c r="N34" s="160">
        <v>58</v>
      </c>
      <c r="O34" s="160">
        <v>0</v>
      </c>
      <c r="P34" s="160">
        <v>0</v>
      </c>
      <c r="Q34" s="160">
        <v>0</v>
      </c>
      <c r="R34" s="160">
        <v>350886</v>
      </c>
      <c r="S34" s="152"/>
    </row>
    <row r="35" spans="1:19">
      <c r="A35" s="159" t="s">
        <v>112</v>
      </c>
      <c r="B35" s="153"/>
      <c r="C35" s="172">
        <v>78346</v>
      </c>
      <c r="D35" s="152"/>
      <c r="E35" s="153">
        <v>0</v>
      </c>
      <c r="F35" s="153">
        <v>0</v>
      </c>
      <c r="G35" s="153"/>
      <c r="H35" s="153"/>
      <c r="I35" s="160">
        <v>78346</v>
      </c>
      <c r="J35" s="160"/>
      <c r="K35" s="153"/>
      <c r="L35" s="160">
        <v>78346</v>
      </c>
      <c r="M35" s="160"/>
      <c r="N35" s="160">
        <v>78346</v>
      </c>
      <c r="O35" s="160"/>
      <c r="P35" s="160">
        <v>0</v>
      </c>
      <c r="Q35" s="160"/>
      <c r="R35" s="160">
        <v>0</v>
      </c>
      <c r="S35" s="160">
        <v>0</v>
      </c>
    </row>
    <row r="36" spans="1:19">
      <c r="A36" s="159" t="s">
        <v>113</v>
      </c>
      <c r="B36" s="153"/>
      <c r="C36" s="153">
        <v>103</v>
      </c>
      <c r="D36" s="152"/>
      <c r="E36" s="112"/>
      <c r="F36" s="153"/>
      <c r="G36" s="153"/>
      <c r="H36" s="153"/>
      <c r="I36" s="160">
        <v>103</v>
      </c>
      <c r="J36" s="160"/>
      <c r="K36" s="160"/>
      <c r="L36" s="160">
        <v>103</v>
      </c>
      <c r="M36" s="160"/>
      <c r="N36" s="160">
        <v>103</v>
      </c>
      <c r="O36" s="160"/>
      <c r="P36" s="160">
        <v>0</v>
      </c>
      <c r="Q36" s="160"/>
      <c r="R36" s="160">
        <v>0</v>
      </c>
      <c r="S36" s="152"/>
    </row>
    <row r="37" spans="1:19">
      <c r="A37" s="152" t="s">
        <v>114</v>
      </c>
      <c r="B37" s="153"/>
      <c r="C37" s="153">
        <v>40115</v>
      </c>
      <c r="D37" s="152"/>
      <c r="E37" s="153">
        <v>2194</v>
      </c>
      <c r="F37" s="152"/>
      <c r="G37" s="153"/>
      <c r="H37" s="153"/>
      <c r="I37" s="160">
        <v>42309</v>
      </c>
      <c r="J37" s="160"/>
      <c r="K37" s="152"/>
      <c r="L37" s="160">
        <v>42309</v>
      </c>
      <c r="M37" s="160">
        <v>0</v>
      </c>
      <c r="N37" s="160">
        <v>40115</v>
      </c>
      <c r="O37" s="160"/>
      <c r="P37" s="160">
        <v>2194</v>
      </c>
      <c r="Q37" s="160"/>
      <c r="R37" s="160">
        <v>0</v>
      </c>
      <c r="S37" s="152"/>
    </row>
    <row r="38" spans="1:19">
      <c r="A38" s="152" t="s">
        <v>115</v>
      </c>
      <c r="B38" s="153"/>
      <c r="C38" s="172">
        <v>39003</v>
      </c>
      <c r="D38" s="152"/>
      <c r="E38" s="153">
        <v>24101</v>
      </c>
      <c r="F38" s="153">
        <v>74959</v>
      </c>
      <c r="G38" s="153"/>
      <c r="H38" s="153"/>
      <c r="I38" s="160">
        <v>138063</v>
      </c>
      <c r="J38" s="160"/>
      <c r="K38" s="152"/>
      <c r="L38" s="160">
        <v>138063</v>
      </c>
      <c r="M38" s="160"/>
      <c r="N38" s="160">
        <v>39003</v>
      </c>
      <c r="O38" s="160"/>
      <c r="P38" s="160">
        <v>24101</v>
      </c>
      <c r="Q38" s="160"/>
      <c r="R38" s="160"/>
      <c r="S38" s="152"/>
    </row>
    <row r="39" spans="1:19">
      <c r="A39" s="152"/>
      <c r="B39" s="153"/>
      <c r="C39" s="154"/>
      <c r="D39" s="162"/>
      <c r="E39" s="154"/>
      <c r="F39" s="162"/>
      <c r="G39" s="154"/>
      <c r="H39" s="154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52"/>
    </row>
    <row r="40" spans="1:19">
      <c r="A40" s="152" t="s">
        <v>116</v>
      </c>
      <c r="B40" s="153"/>
      <c r="C40" s="153">
        <v>157625</v>
      </c>
      <c r="D40" s="152"/>
      <c r="E40" s="153">
        <v>26295</v>
      </c>
      <c r="F40" s="153">
        <v>425845</v>
      </c>
      <c r="G40" s="153">
        <v>0</v>
      </c>
      <c r="H40" s="153">
        <v>0</v>
      </c>
      <c r="I40" s="153">
        <v>609765</v>
      </c>
      <c r="J40" s="153">
        <v>0</v>
      </c>
      <c r="K40" s="153">
        <v>350944</v>
      </c>
      <c r="L40" s="153">
        <v>258821</v>
      </c>
      <c r="M40" s="153">
        <v>0</v>
      </c>
      <c r="N40" s="153">
        <v>157625</v>
      </c>
      <c r="O40" s="153">
        <v>0</v>
      </c>
      <c r="P40" s="153">
        <v>26295</v>
      </c>
      <c r="Q40" s="153">
        <v>0</v>
      </c>
      <c r="R40" s="153">
        <v>350886</v>
      </c>
      <c r="S40" s="152"/>
    </row>
    <row r="41" spans="1:19">
      <c r="A41" s="152"/>
      <c r="B41" s="153"/>
      <c r="C41" s="153"/>
      <c r="D41" s="152"/>
      <c r="E41" s="153"/>
      <c r="F41" s="153"/>
      <c r="G41" s="153"/>
      <c r="H41" s="153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</row>
    <row r="42" spans="1:19" ht="13" thickBot="1">
      <c r="A42" s="152" t="s">
        <v>117</v>
      </c>
      <c r="B42" s="153"/>
      <c r="C42" s="155">
        <v>676208</v>
      </c>
      <c r="D42" s="155">
        <v>6</v>
      </c>
      <c r="E42" s="155">
        <v>38246</v>
      </c>
      <c r="F42" s="155">
        <v>445139</v>
      </c>
      <c r="G42" s="155">
        <v>246</v>
      </c>
      <c r="H42" s="155">
        <v>0</v>
      </c>
      <c r="I42" s="155">
        <v>1159845</v>
      </c>
      <c r="J42" s="155">
        <v>0</v>
      </c>
      <c r="K42" s="155">
        <v>384876</v>
      </c>
      <c r="L42" s="155">
        <v>774969</v>
      </c>
      <c r="M42" s="155">
        <v>0</v>
      </c>
      <c r="N42" s="155">
        <v>676208</v>
      </c>
      <c r="O42" s="155">
        <v>0</v>
      </c>
      <c r="P42" s="155">
        <v>38246</v>
      </c>
      <c r="Q42" s="155">
        <v>0</v>
      </c>
      <c r="R42" s="155">
        <v>370180</v>
      </c>
      <c r="S42" s="152"/>
    </row>
    <row r="43" spans="1:19" ht="13" thickTop="1">
      <c r="A43" s="152"/>
      <c r="B43" s="152"/>
      <c r="C43" s="152"/>
      <c r="D43" s="152"/>
      <c r="E43" s="153"/>
      <c r="F43" s="152"/>
      <c r="G43" s="153"/>
      <c r="H43" s="153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19">
      <c r="A44" s="152"/>
      <c r="B44" s="152"/>
      <c r="C44" s="160"/>
      <c r="D44" s="152"/>
      <c r="E44" s="152"/>
      <c r="F44" s="160"/>
      <c r="G44" s="153"/>
      <c r="H44" s="153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</row>
    <row r="45" spans="1:19">
      <c r="A45" s="152"/>
      <c r="B45" s="152"/>
      <c r="C45" s="160"/>
      <c r="D45" s="152"/>
      <c r="E45" s="152"/>
      <c r="F45" s="152"/>
      <c r="G45" s="160"/>
      <c r="H45" s="160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</row>
    <row r="46" spans="1:19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92" t="s">
        <v>118</v>
      </c>
      <c r="M46" s="152"/>
      <c r="N46" s="152"/>
      <c r="O46" s="152"/>
      <c r="P46" s="152"/>
      <c r="Q46" s="152"/>
      <c r="R46" s="152"/>
      <c r="S46" s="152"/>
    </row>
    <row r="47" spans="1:19">
      <c r="A47" s="152" t="s">
        <v>71</v>
      </c>
      <c r="B47" s="152"/>
      <c r="C47" s="152"/>
      <c r="D47" s="152"/>
      <c r="E47" s="152"/>
      <c r="F47" s="152"/>
      <c r="G47" s="152"/>
      <c r="H47" s="152"/>
      <c r="I47" s="160">
        <v>0</v>
      </c>
      <c r="J47" s="160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19">
      <c r="A48" s="152" t="s">
        <v>72</v>
      </c>
      <c r="B48" s="152"/>
      <c r="C48" s="167">
        <v>41729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68">
        <v>41743.60204849537</v>
      </c>
      <c r="R48" s="152"/>
      <c r="S48" s="152"/>
    </row>
    <row r="50" spans="1:21">
      <c r="A50" s="152"/>
      <c r="B50" s="152"/>
      <c r="C50" s="163" t="s">
        <v>73</v>
      </c>
      <c r="D50" s="152" t="s">
        <v>74</v>
      </c>
      <c r="E50" s="163" t="s">
        <v>75</v>
      </c>
      <c r="F50" s="163" t="s">
        <v>76</v>
      </c>
      <c r="G50" s="163" t="s">
        <v>77</v>
      </c>
      <c r="H50" s="163" t="s">
        <v>78</v>
      </c>
      <c r="I50" s="152" t="s">
        <v>79</v>
      </c>
      <c r="J50" s="181" t="s">
        <v>80</v>
      </c>
      <c r="K50" s="163" t="s">
        <v>81</v>
      </c>
      <c r="L50" s="152"/>
      <c r="M50" s="152"/>
      <c r="N50" s="152"/>
      <c r="O50" s="152"/>
      <c r="P50" s="152"/>
      <c r="Q50" s="152"/>
      <c r="R50" s="152"/>
      <c r="S50" s="152"/>
      <c r="T50" s="152"/>
      <c r="U50" s="152"/>
    </row>
    <row r="51" spans="1:21">
      <c r="A51" s="152" t="s">
        <v>82</v>
      </c>
      <c r="B51" s="152"/>
      <c r="C51" s="164">
        <v>41729</v>
      </c>
      <c r="D51" s="164">
        <v>41729</v>
      </c>
      <c r="E51" s="164">
        <v>41729</v>
      </c>
      <c r="F51" s="164">
        <v>41729</v>
      </c>
      <c r="G51" s="164">
        <v>41729</v>
      </c>
      <c r="H51" s="164">
        <v>41729</v>
      </c>
      <c r="I51" s="164">
        <v>41729</v>
      </c>
      <c r="J51" s="182" t="s">
        <v>83</v>
      </c>
      <c r="K51" s="165" t="s">
        <v>84</v>
      </c>
      <c r="L51" s="165" t="s">
        <v>85</v>
      </c>
      <c r="M51" s="165" t="s">
        <v>86</v>
      </c>
      <c r="N51" s="165" t="s">
        <v>73</v>
      </c>
      <c r="O51" s="166" t="s">
        <v>119</v>
      </c>
      <c r="P51" s="166" t="s">
        <v>120</v>
      </c>
      <c r="Q51" s="166" t="s">
        <v>88</v>
      </c>
      <c r="R51" s="166" t="s">
        <v>89</v>
      </c>
      <c r="S51" s="152"/>
      <c r="T51" s="152"/>
      <c r="U51" s="152"/>
    </row>
    <row r="52" spans="1:2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>
      <c r="A53" s="152" t="s">
        <v>121</v>
      </c>
      <c r="B53" s="153"/>
      <c r="C53" s="172">
        <v>54420</v>
      </c>
      <c r="D53" s="152"/>
      <c r="E53" s="152"/>
      <c r="F53" s="152"/>
      <c r="G53" s="152"/>
      <c r="H53" s="152"/>
      <c r="I53" s="160">
        <v>54420</v>
      </c>
      <c r="J53" s="160">
        <v>13642</v>
      </c>
      <c r="K53" s="152"/>
      <c r="L53" s="160">
        <v>68062</v>
      </c>
      <c r="M53" s="160"/>
      <c r="N53" s="160"/>
      <c r="O53" s="153"/>
      <c r="P53" s="160">
        <v>0</v>
      </c>
      <c r="Q53" s="160"/>
      <c r="R53" s="160">
        <v>0</v>
      </c>
      <c r="S53" s="152"/>
      <c r="T53" s="152"/>
      <c r="U53" s="152"/>
    </row>
    <row r="54" spans="1:21">
      <c r="A54" s="152" t="s">
        <v>122</v>
      </c>
      <c r="B54" s="153"/>
      <c r="C54" s="170">
        <v>32032</v>
      </c>
      <c r="D54" s="152"/>
      <c r="E54" s="172">
        <v>6242</v>
      </c>
      <c r="F54" s="195">
        <v>47</v>
      </c>
      <c r="G54" s="152">
        <v>6</v>
      </c>
      <c r="H54" s="172"/>
      <c r="I54" s="160">
        <v>38327</v>
      </c>
      <c r="J54" s="198">
        <v>-13642</v>
      </c>
      <c r="K54" s="172">
        <v>6013</v>
      </c>
      <c r="L54" s="160">
        <v>18672</v>
      </c>
      <c r="M54" s="160"/>
      <c r="N54" s="160"/>
      <c r="O54" s="153"/>
      <c r="P54" s="160">
        <v>6242</v>
      </c>
      <c r="Q54" s="160"/>
      <c r="R54" s="160">
        <v>47</v>
      </c>
      <c r="S54" s="152"/>
      <c r="T54" s="152"/>
      <c r="U54" s="152"/>
    </row>
    <row r="55" spans="1:21">
      <c r="A55" s="152" t="s">
        <v>123</v>
      </c>
      <c r="B55" s="153"/>
      <c r="C55" s="188">
        <v>7041</v>
      </c>
      <c r="D55" s="152"/>
      <c r="E55" s="152">
        <v>37</v>
      </c>
      <c r="F55" s="195">
        <v>9</v>
      </c>
      <c r="G55" s="172">
        <v>45</v>
      </c>
      <c r="H55" s="172"/>
      <c r="I55" s="160">
        <v>7132</v>
      </c>
      <c r="J55" s="160"/>
      <c r="K55" s="152"/>
      <c r="L55" s="160">
        <v>7132</v>
      </c>
      <c r="M55" s="160"/>
      <c r="N55" s="160"/>
      <c r="O55" s="153"/>
      <c r="P55" s="160">
        <v>37</v>
      </c>
      <c r="Q55" s="160"/>
      <c r="R55" s="160">
        <v>9</v>
      </c>
      <c r="S55" s="152"/>
      <c r="T55" s="152"/>
      <c r="U55" s="188">
        <v>7262</v>
      </c>
    </row>
    <row r="56" spans="1:21">
      <c r="A56" s="159" t="s">
        <v>98</v>
      </c>
      <c r="B56" s="153"/>
      <c r="C56" s="172">
        <v>1943</v>
      </c>
      <c r="D56" s="152"/>
      <c r="E56" s="152"/>
      <c r="F56" s="172"/>
      <c r="G56" s="172"/>
      <c r="H56" s="172"/>
      <c r="I56" s="160">
        <v>1943</v>
      </c>
      <c r="J56" s="160"/>
      <c r="K56" s="152"/>
      <c r="L56" s="160">
        <v>1943</v>
      </c>
      <c r="M56" s="160"/>
      <c r="N56" s="160"/>
      <c r="O56" s="153"/>
      <c r="P56" s="160">
        <v>0</v>
      </c>
      <c r="Q56" s="160"/>
      <c r="R56" s="160">
        <v>0</v>
      </c>
      <c r="S56" s="152"/>
      <c r="T56" s="152"/>
      <c r="U56" s="152"/>
    </row>
    <row r="57" spans="1:21">
      <c r="A57" s="152" t="s">
        <v>124</v>
      </c>
      <c r="B57" s="153"/>
      <c r="C57" s="172">
        <v>9414</v>
      </c>
      <c r="D57" s="152"/>
      <c r="E57" s="152">
        <v>480</v>
      </c>
      <c r="F57" s="195">
        <v>8</v>
      </c>
      <c r="G57" s="172"/>
      <c r="H57" s="172"/>
      <c r="I57" s="160">
        <v>9902</v>
      </c>
      <c r="J57" s="160"/>
      <c r="K57" s="152"/>
      <c r="L57" s="160">
        <v>9902</v>
      </c>
      <c r="M57" s="160"/>
      <c r="N57" s="160"/>
      <c r="O57" s="153"/>
      <c r="P57" s="160">
        <v>480</v>
      </c>
      <c r="Q57" s="160"/>
      <c r="R57" s="160">
        <v>8</v>
      </c>
      <c r="S57" s="152"/>
      <c r="T57" s="152"/>
      <c r="U57" s="172">
        <v>9086</v>
      </c>
    </row>
    <row r="58" spans="1:21">
      <c r="A58" s="159" t="s">
        <v>125</v>
      </c>
      <c r="B58" s="153"/>
      <c r="C58" s="172">
        <v>240</v>
      </c>
      <c r="D58" s="152"/>
      <c r="E58" s="152">
        <v>240</v>
      </c>
      <c r="F58" s="172"/>
      <c r="G58" s="172"/>
      <c r="H58" s="172"/>
      <c r="I58" s="160">
        <v>480</v>
      </c>
      <c r="J58" s="160"/>
      <c r="K58" s="152"/>
      <c r="L58" s="160">
        <v>480</v>
      </c>
      <c r="M58" s="160"/>
      <c r="N58" s="160"/>
      <c r="O58" s="153"/>
      <c r="P58" s="160">
        <v>240</v>
      </c>
      <c r="Q58" s="160"/>
      <c r="R58" s="160"/>
      <c r="S58" s="152"/>
      <c r="T58" s="152"/>
      <c r="U58" s="152"/>
    </row>
    <row r="59" spans="1:21">
      <c r="A59" s="152" t="s">
        <v>126</v>
      </c>
      <c r="B59" s="153"/>
      <c r="C59" s="172">
        <v>8144</v>
      </c>
      <c r="D59" s="172">
        <v>21</v>
      </c>
      <c r="E59" s="172">
        <v>10393</v>
      </c>
      <c r="F59" s="172">
        <v>6</v>
      </c>
      <c r="G59" s="172">
        <v>175</v>
      </c>
      <c r="H59" s="172">
        <v>0</v>
      </c>
      <c r="I59" s="172">
        <v>18739</v>
      </c>
      <c r="J59" s="172"/>
      <c r="K59" s="172">
        <v>10979</v>
      </c>
      <c r="L59" s="172">
        <v>7760</v>
      </c>
      <c r="M59" s="160"/>
      <c r="N59" s="160"/>
      <c r="O59" s="153"/>
      <c r="P59" s="160">
        <v>10393</v>
      </c>
      <c r="Q59" s="160"/>
      <c r="R59" s="160">
        <v>6</v>
      </c>
      <c r="S59" s="152"/>
      <c r="T59" s="152"/>
      <c r="U59" s="152"/>
    </row>
    <row r="60" spans="1:21">
      <c r="A60" s="152" t="s">
        <v>127</v>
      </c>
      <c r="B60" s="153"/>
      <c r="C60" s="172">
        <v>8144</v>
      </c>
      <c r="D60" s="172">
        <v>21</v>
      </c>
      <c r="E60" s="172">
        <v>10393</v>
      </c>
      <c r="F60" s="172">
        <v>6</v>
      </c>
      <c r="G60" s="172">
        <v>175</v>
      </c>
      <c r="H60" s="172"/>
      <c r="I60" s="160">
        <v>18739</v>
      </c>
      <c r="J60" s="160"/>
      <c r="K60" s="160">
        <v>10979</v>
      </c>
      <c r="L60" s="160">
        <v>7760</v>
      </c>
      <c r="M60" s="160"/>
      <c r="N60" s="160"/>
      <c r="O60" s="153"/>
      <c r="P60" s="160">
        <v>10393</v>
      </c>
      <c r="Q60" s="160"/>
      <c r="R60" s="160">
        <v>6</v>
      </c>
      <c r="S60" s="160"/>
      <c r="T60" s="152"/>
      <c r="U60" s="152"/>
    </row>
    <row r="61" spans="1:21">
      <c r="A61" s="152" t="s">
        <v>128</v>
      </c>
      <c r="B61" s="153"/>
      <c r="C61" s="174">
        <v>15879</v>
      </c>
      <c r="D61" s="162"/>
      <c r="E61" s="174"/>
      <c r="F61" s="174">
        <v>5366</v>
      </c>
      <c r="G61" s="174"/>
      <c r="H61" s="174"/>
      <c r="I61" s="161">
        <v>21245</v>
      </c>
      <c r="J61" s="161"/>
      <c r="K61" s="161">
        <v>14470</v>
      </c>
      <c r="L61" s="161">
        <v>6775</v>
      </c>
      <c r="M61" s="161"/>
      <c r="N61" s="161"/>
      <c r="O61" s="161"/>
      <c r="P61" s="161">
        <v>0</v>
      </c>
      <c r="Q61" s="161"/>
      <c r="R61" s="161">
        <v>5366</v>
      </c>
      <c r="S61" s="152"/>
      <c r="T61" s="152"/>
      <c r="U61" s="152"/>
    </row>
    <row r="62" spans="1:21">
      <c r="A62" s="152"/>
      <c r="B62" s="153"/>
      <c r="C62" s="172"/>
      <c r="D62" s="152"/>
      <c r="E62" s="172"/>
      <c r="F62" s="172"/>
      <c r="G62" s="172"/>
      <c r="H62" s="172"/>
      <c r="I62" s="152"/>
      <c r="J62" s="152"/>
      <c r="K62" s="152"/>
      <c r="L62" s="152"/>
      <c r="M62" s="152"/>
      <c r="N62" s="152"/>
      <c r="O62" s="153"/>
      <c r="P62" s="152"/>
      <c r="Q62" s="152"/>
      <c r="R62" s="152"/>
      <c r="S62" s="152"/>
      <c r="T62" s="152"/>
      <c r="U62" s="152"/>
    </row>
    <row r="63" spans="1:21">
      <c r="A63" s="152" t="s">
        <v>129</v>
      </c>
      <c r="B63" s="153"/>
      <c r="C63" s="172">
        <v>129113</v>
      </c>
      <c r="D63" s="172">
        <v>21</v>
      </c>
      <c r="E63" s="172">
        <v>17392</v>
      </c>
      <c r="F63" s="172">
        <v>5436</v>
      </c>
      <c r="G63" s="172">
        <v>226</v>
      </c>
      <c r="H63" s="172">
        <v>0</v>
      </c>
      <c r="I63" s="172">
        <v>152188</v>
      </c>
      <c r="J63" s="172"/>
      <c r="K63" s="172">
        <v>31462</v>
      </c>
      <c r="L63" s="172">
        <v>120726</v>
      </c>
      <c r="M63" s="153">
        <v>0</v>
      </c>
      <c r="N63" s="153">
        <v>0</v>
      </c>
      <c r="O63" s="153">
        <v>0</v>
      </c>
      <c r="P63" s="153">
        <v>17392</v>
      </c>
      <c r="Q63" s="153">
        <v>0</v>
      </c>
      <c r="R63" s="153">
        <v>5436</v>
      </c>
      <c r="S63" s="152"/>
      <c r="T63" s="152"/>
      <c r="U63" s="152"/>
    </row>
    <row r="64" spans="1:21">
      <c r="A64" s="152"/>
      <c r="B64" s="153"/>
      <c r="C64" s="172"/>
      <c r="D64" s="172"/>
      <c r="E64" s="172"/>
      <c r="F64" s="172"/>
      <c r="G64" s="172"/>
      <c r="H64" s="172"/>
      <c r="I64" s="160"/>
      <c r="J64" s="160"/>
      <c r="K64" s="160"/>
      <c r="L64" s="172"/>
      <c r="M64" s="153"/>
      <c r="N64" s="153"/>
      <c r="O64" s="153"/>
      <c r="P64" s="153"/>
      <c r="Q64" s="153"/>
      <c r="R64" s="153"/>
      <c r="S64" s="152"/>
      <c r="T64" s="152"/>
      <c r="U64" s="152"/>
    </row>
    <row r="65" spans="1:25">
      <c r="A65" s="159" t="s">
        <v>130</v>
      </c>
      <c r="B65" s="153"/>
      <c r="C65" s="172">
        <v>155131</v>
      </c>
      <c r="D65" s="172"/>
      <c r="E65" s="172"/>
      <c r="F65" s="172"/>
      <c r="G65" s="172"/>
      <c r="H65" s="172"/>
      <c r="I65" s="160">
        <v>155131</v>
      </c>
      <c r="J65" s="160"/>
      <c r="K65" s="160"/>
      <c r="L65" s="160">
        <v>155131</v>
      </c>
      <c r="M65" s="153"/>
      <c r="N65" s="153"/>
      <c r="O65" s="153"/>
      <c r="P65" s="160">
        <v>0</v>
      </c>
      <c r="Q65" s="153"/>
      <c r="R65" s="153"/>
      <c r="S65" s="152"/>
      <c r="T65" s="152"/>
      <c r="U65" s="152"/>
      <c r="V65" s="152"/>
      <c r="W65" s="152"/>
      <c r="X65" s="152"/>
      <c r="Y65" s="152"/>
    </row>
    <row r="66" spans="1:25">
      <c r="A66" s="159" t="s">
        <v>131</v>
      </c>
      <c r="B66" s="153"/>
      <c r="C66" s="172"/>
      <c r="D66" s="172"/>
      <c r="E66" s="172"/>
      <c r="F66" s="172"/>
      <c r="G66" s="172"/>
      <c r="H66" s="172"/>
      <c r="I66" s="160">
        <v>0</v>
      </c>
      <c r="J66" s="160"/>
      <c r="K66" s="160"/>
      <c r="L66" s="160">
        <v>0</v>
      </c>
      <c r="M66" s="153"/>
      <c r="N66" s="153"/>
      <c r="O66" s="153"/>
      <c r="P66" s="160">
        <v>0</v>
      </c>
      <c r="Q66" s="153"/>
      <c r="R66" s="153"/>
      <c r="S66" s="152"/>
      <c r="T66" s="152"/>
      <c r="U66" s="152"/>
      <c r="V66" s="152"/>
      <c r="W66" s="152"/>
      <c r="X66" s="152"/>
      <c r="Y66" s="152"/>
    </row>
    <row r="67" spans="1:25">
      <c r="A67" s="159" t="s">
        <v>125</v>
      </c>
      <c r="B67" s="153"/>
      <c r="C67" s="172">
        <v>0</v>
      </c>
      <c r="D67" s="172"/>
      <c r="E67" s="172">
        <v>320</v>
      </c>
      <c r="F67" s="172"/>
      <c r="G67" s="172"/>
      <c r="H67" s="172"/>
      <c r="I67" s="160">
        <v>320</v>
      </c>
      <c r="J67" s="160"/>
      <c r="K67" s="160"/>
      <c r="L67" s="160">
        <v>320</v>
      </c>
      <c r="M67" s="153"/>
      <c r="N67" s="160"/>
      <c r="O67" s="153"/>
      <c r="P67" s="160">
        <v>320</v>
      </c>
      <c r="Q67" s="153"/>
      <c r="R67" s="153"/>
      <c r="S67" s="152"/>
      <c r="T67" s="152"/>
      <c r="U67" s="152"/>
      <c r="V67" s="152"/>
      <c r="W67" s="152"/>
      <c r="X67" s="152"/>
      <c r="Y67" s="152"/>
    </row>
    <row r="68" spans="1:25">
      <c r="A68" s="159" t="s">
        <v>132</v>
      </c>
      <c r="B68" s="153"/>
      <c r="C68" s="172"/>
      <c r="D68" s="152"/>
      <c r="E68" s="172"/>
      <c r="F68" s="172"/>
      <c r="G68" s="172"/>
      <c r="H68" s="172"/>
      <c r="I68" s="160">
        <v>0</v>
      </c>
      <c r="J68" s="160"/>
      <c r="K68" s="152"/>
      <c r="L68" s="160">
        <v>0</v>
      </c>
      <c r="M68" s="152"/>
      <c r="N68" s="152"/>
      <c r="O68" s="153"/>
      <c r="P68" s="160">
        <v>0</v>
      </c>
      <c r="Q68" s="152"/>
      <c r="R68" s="152"/>
      <c r="S68" s="152"/>
      <c r="T68" s="152"/>
      <c r="U68" s="152"/>
      <c r="V68" s="152"/>
      <c r="W68" s="152"/>
      <c r="X68" s="152"/>
      <c r="Y68" s="152"/>
    </row>
    <row r="69" spans="1:25">
      <c r="A69" s="152" t="s">
        <v>133</v>
      </c>
      <c r="B69" s="153"/>
      <c r="C69" s="172">
        <v>28685</v>
      </c>
      <c r="D69" s="152"/>
      <c r="E69" s="172"/>
      <c r="F69" s="172"/>
      <c r="G69" s="172"/>
      <c r="H69" s="172"/>
      <c r="I69" s="160">
        <v>28685</v>
      </c>
      <c r="J69" s="160"/>
      <c r="K69" s="152"/>
      <c r="L69" s="160">
        <v>28685</v>
      </c>
      <c r="M69" s="152"/>
      <c r="N69" s="152"/>
      <c r="O69" s="153"/>
      <c r="P69" s="160"/>
      <c r="Q69" s="152"/>
      <c r="R69" s="152"/>
      <c r="S69" s="152"/>
      <c r="T69" s="152"/>
      <c r="U69" s="152"/>
      <c r="V69" s="152"/>
      <c r="W69" s="152"/>
      <c r="X69" s="152"/>
      <c r="Y69" s="152"/>
    </row>
    <row r="70" spans="1:25">
      <c r="A70" s="159" t="s">
        <v>134</v>
      </c>
      <c r="B70" s="153"/>
      <c r="C70" s="172">
        <v>24707</v>
      </c>
      <c r="D70" s="152"/>
      <c r="E70" s="172"/>
      <c r="F70" s="172"/>
      <c r="G70" s="172"/>
      <c r="H70" s="172"/>
      <c r="I70" s="160">
        <v>24707</v>
      </c>
      <c r="J70" s="160"/>
      <c r="K70" s="152"/>
      <c r="L70" s="160">
        <v>24707</v>
      </c>
      <c r="M70" s="160"/>
      <c r="N70" s="160"/>
      <c r="O70" s="160"/>
      <c r="P70" s="160">
        <v>0</v>
      </c>
      <c r="Q70" s="160"/>
      <c r="R70" s="160">
        <v>0</v>
      </c>
      <c r="S70" s="152"/>
      <c r="T70" s="152"/>
      <c r="U70" s="152"/>
      <c r="V70" s="152"/>
      <c r="W70" s="152"/>
      <c r="X70" s="152"/>
      <c r="Y70" s="152"/>
    </row>
    <row r="71" spans="1:25">
      <c r="A71" s="159" t="s">
        <v>135</v>
      </c>
      <c r="B71" s="153"/>
      <c r="C71" s="171"/>
      <c r="D71" s="162"/>
      <c r="E71" s="174">
        <v>2132</v>
      </c>
      <c r="F71" s="162"/>
      <c r="G71" s="162"/>
      <c r="H71" s="162"/>
      <c r="I71" s="161">
        <v>2132</v>
      </c>
      <c r="J71" s="161"/>
      <c r="K71" s="161">
        <v>0</v>
      </c>
      <c r="L71" s="161">
        <v>2132</v>
      </c>
      <c r="M71" s="162"/>
      <c r="N71" s="162"/>
      <c r="O71" s="161"/>
      <c r="P71" s="161">
        <v>2132</v>
      </c>
      <c r="Q71" s="161"/>
      <c r="R71" s="161">
        <v>0</v>
      </c>
      <c r="S71" s="152"/>
      <c r="T71" s="152"/>
      <c r="U71" s="152"/>
      <c r="V71" s="152"/>
      <c r="W71" s="152"/>
      <c r="X71" s="152"/>
      <c r="Y71" s="152"/>
    </row>
    <row r="72" spans="1:25">
      <c r="A72" s="152" t="s">
        <v>136</v>
      </c>
      <c r="B72" s="153"/>
      <c r="C72" s="172">
        <v>208523</v>
      </c>
      <c r="D72" s="172">
        <v>0</v>
      </c>
      <c r="E72" s="172">
        <v>2452</v>
      </c>
      <c r="F72" s="172">
        <v>0</v>
      </c>
      <c r="G72" s="172"/>
      <c r="H72" s="172">
        <v>0</v>
      </c>
      <c r="I72" s="172">
        <v>210975</v>
      </c>
      <c r="J72" s="172"/>
      <c r="K72" s="172">
        <v>0</v>
      </c>
      <c r="L72" s="172">
        <v>210975</v>
      </c>
      <c r="M72" s="153">
        <v>0</v>
      </c>
      <c r="N72" s="153">
        <v>0</v>
      </c>
      <c r="O72" s="153">
        <v>0</v>
      </c>
      <c r="P72" s="153">
        <v>2452</v>
      </c>
      <c r="Q72" s="153">
        <v>0</v>
      </c>
      <c r="R72" s="153">
        <v>0</v>
      </c>
      <c r="S72" s="152"/>
      <c r="T72" s="152"/>
      <c r="U72" s="152"/>
      <c r="V72" s="152"/>
      <c r="W72" s="152"/>
      <c r="X72" s="152"/>
      <c r="Y72" s="152"/>
    </row>
    <row r="73" spans="1:25">
      <c r="A73" s="152"/>
      <c r="B73" s="153"/>
      <c r="C73" s="172"/>
      <c r="D73" s="152"/>
      <c r="E73" s="17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</row>
    <row r="74" spans="1:25">
      <c r="A74" s="152" t="s">
        <v>137</v>
      </c>
      <c r="B74" s="153"/>
      <c r="C74" s="172">
        <v>0</v>
      </c>
      <c r="D74" s="152"/>
      <c r="E74" s="17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</row>
    <row r="75" spans="1:25">
      <c r="A75" s="152"/>
      <c r="B75" s="153"/>
      <c r="C75" s="172"/>
      <c r="D75" s="152"/>
      <c r="E75" s="17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</row>
    <row r="76" spans="1:25">
      <c r="A76" s="152" t="s">
        <v>138</v>
      </c>
      <c r="B76" s="153"/>
      <c r="C76" s="172">
        <v>0</v>
      </c>
      <c r="D76" s="152"/>
      <c r="E76" s="172"/>
      <c r="F76" s="152"/>
      <c r="G76" s="152"/>
      <c r="H76" s="152"/>
      <c r="I76" s="152"/>
      <c r="J76" s="152"/>
      <c r="K76" s="172">
        <v>3565</v>
      </c>
      <c r="L76" s="172">
        <v>3565</v>
      </c>
      <c r="M76" s="153"/>
      <c r="N76" s="153"/>
      <c r="O76" s="153"/>
      <c r="P76" s="153"/>
      <c r="Q76" s="153"/>
      <c r="R76" s="153">
        <v>0</v>
      </c>
      <c r="S76" s="152"/>
      <c r="T76" s="152"/>
      <c r="U76" s="152"/>
      <c r="V76" s="152"/>
      <c r="W76" s="152"/>
      <c r="X76" s="152"/>
      <c r="Y76" s="152"/>
    </row>
    <row r="77" spans="1:25">
      <c r="A77" s="152"/>
      <c r="B77" s="153"/>
      <c r="C77" s="172"/>
      <c r="D77" s="152"/>
      <c r="E77" s="172"/>
      <c r="F77" s="152"/>
      <c r="G77" s="152"/>
      <c r="H77" s="152"/>
      <c r="I77" s="152"/>
      <c r="J77" s="152"/>
      <c r="K77" s="17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</row>
    <row r="78" spans="1:25">
      <c r="A78" s="152"/>
      <c r="B78" s="152"/>
      <c r="C78" s="152"/>
      <c r="D78" s="152"/>
      <c r="E78" s="17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</row>
    <row r="79" spans="1:25">
      <c r="A79" s="152"/>
      <c r="B79" s="153"/>
      <c r="C79" s="172"/>
      <c r="D79" s="152"/>
      <c r="E79" s="17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</row>
    <row r="80" spans="1:25">
      <c r="A80" s="152"/>
      <c r="B80" s="152"/>
      <c r="C80" s="152"/>
      <c r="D80" s="152"/>
      <c r="E80" s="17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9" t="s">
        <v>139</v>
      </c>
      <c r="W80" s="152"/>
      <c r="X80" s="152"/>
      <c r="Y80" s="152" t="s">
        <v>140</v>
      </c>
    </row>
    <row r="81" spans="1:29" ht="14.5">
      <c r="A81" s="152" t="s">
        <v>141</v>
      </c>
      <c r="B81" s="153"/>
      <c r="C81" s="172">
        <v>146755</v>
      </c>
      <c r="D81" s="153">
        <v>53</v>
      </c>
      <c r="E81" s="172">
        <v>33000</v>
      </c>
      <c r="F81" s="153">
        <v>128515</v>
      </c>
      <c r="G81" s="153">
        <v>900</v>
      </c>
      <c r="H81" s="153">
        <v>0</v>
      </c>
      <c r="I81" s="153">
        <v>309223</v>
      </c>
      <c r="J81" s="153"/>
      <c r="K81" s="153">
        <v>180708</v>
      </c>
      <c r="L81" s="172">
        <v>128515</v>
      </c>
      <c r="M81" s="153"/>
      <c r="N81" s="153"/>
      <c r="O81" s="153"/>
      <c r="P81" s="160">
        <v>33000</v>
      </c>
      <c r="Q81" s="153">
        <v>0</v>
      </c>
      <c r="R81" s="153">
        <v>128515</v>
      </c>
      <c r="S81" s="152"/>
      <c r="T81" s="152"/>
      <c r="U81" s="152"/>
      <c r="V81" s="176" t="s">
        <v>46</v>
      </c>
      <c r="W81" s="177"/>
      <c r="X81" s="178">
        <v>128515</v>
      </c>
      <c r="Y81" s="178">
        <v>124547</v>
      </c>
    </row>
    <row r="82" spans="1:29" ht="14.5">
      <c r="A82" s="152" t="s">
        <v>142</v>
      </c>
      <c r="B82" s="153"/>
      <c r="C82" s="172">
        <v>146755</v>
      </c>
      <c r="D82" s="153">
        <v>53</v>
      </c>
      <c r="E82" s="172">
        <v>33000</v>
      </c>
      <c r="F82" s="172">
        <v>128515</v>
      </c>
      <c r="G82" s="172">
        <v>900</v>
      </c>
      <c r="H82" s="172"/>
      <c r="I82" s="160">
        <v>309223</v>
      </c>
      <c r="J82" s="160"/>
      <c r="K82" s="160">
        <v>180708</v>
      </c>
      <c r="L82" s="160">
        <v>128515</v>
      </c>
      <c r="M82" s="160"/>
      <c r="N82" s="160"/>
      <c r="O82" s="152"/>
      <c r="P82" s="160">
        <v>33000</v>
      </c>
      <c r="Q82" s="160"/>
      <c r="R82" s="153">
        <v>128515</v>
      </c>
      <c r="S82" s="152"/>
      <c r="T82" s="152"/>
      <c r="U82" s="152"/>
      <c r="V82" s="176" t="s">
        <v>47</v>
      </c>
      <c r="W82" s="177"/>
      <c r="X82" s="178">
        <v>-10870</v>
      </c>
      <c r="Y82" s="178">
        <v>-10870</v>
      </c>
    </row>
    <row r="83" spans="1:29" ht="14.5">
      <c r="A83" s="152" t="s">
        <v>143</v>
      </c>
      <c r="B83" s="153"/>
      <c r="C83" s="172"/>
      <c r="D83" s="152"/>
      <c r="E83" s="172"/>
      <c r="F83" s="152"/>
      <c r="G83" s="152"/>
      <c r="H83" s="152"/>
      <c r="I83" s="160">
        <v>0</v>
      </c>
      <c r="J83" s="160"/>
      <c r="K83" s="160">
        <v>0</v>
      </c>
      <c r="L83" s="160">
        <v>0</v>
      </c>
      <c r="M83" s="160"/>
      <c r="N83" s="160"/>
      <c r="O83" s="160"/>
      <c r="P83" s="160">
        <v>0</v>
      </c>
      <c r="Q83" s="160"/>
      <c r="R83" s="153">
        <v>0</v>
      </c>
      <c r="S83" s="152"/>
      <c r="T83" s="152"/>
      <c r="U83" s="152"/>
      <c r="V83" s="176" t="s">
        <v>48</v>
      </c>
      <c r="W83" s="177"/>
      <c r="X83" s="178">
        <v>178844</v>
      </c>
      <c r="Y83" s="178">
        <v>181431</v>
      </c>
    </row>
    <row r="84" spans="1:29" ht="14.5">
      <c r="A84" s="152" t="s">
        <v>144</v>
      </c>
      <c r="B84" s="153"/>
      <c r="C84" s="170">
        <v>87718</v>
      </c>
      <c r="D84" s="152"/>
      <c r="E84" s="172"/>
      <c r="F84" s="172">
        <v>167974</v>
      </c>
      <c r="G84" s="172"/>
      <c r="H84" s="172"/>
      <c r="I84" s="160">
        <v>255692</v>
      </c>
      <c r="J84" s="160"/>
      <c r="K84" s="160">
        <v>87718</v>
      </c>
      <c r="L84" s="160">
        <v>167974</v>
      </c>
      <c r="M84" s="160"/>
      <c r="N84" s="160"/>
      <c r="O84" s="160"/>
      <c r="P84" s="160">
        <v>0</v>
      </c>
      <c r="Q84" s="160"/>
      <c r="R84" s="153">
        <v>167974</v>
      </c>
      <c r="S84" s="152"/>
      <c r="T84" s="152"/>
      <c r="U84" s="152"/>
      <c r="V84" s="176" t="s">
        <v>49</v>
      </c>
      <c r="W84" s="177"/>
      <c r="X84" s="178">
        <v>137149</v>
      </c>
      <c r="Y84" s="178">
        <v>129049</v>
      </c>
    </row>
    <row r="85" spans="1:29" ht="14.5">
      <c r="A85" s="152" t="s">
        <v>145</v>
      </c>
      <c r="B85" s="153"/>
      <c r="C85" s="172">
        <v>107244</v>
      </c>
      <c r="D85" s="153">
        <v>-68</v>
      </c>
      <c r="E85" s="172">
        <v>-12703</v>
      </c>
      <c r="F85" s="170">
        <v>164128</v>
      </c>
      <c r="G85" s="170">
        <v>-350</v>
      </c>
      <c r="H85" s="170"/>
      <c r="I85" s="160">
        <v>258251</v>
      </c>
      <c r="J85" s="160"/>
      <c r="K85" s="160">
        <v>94123</v>
      </c>
      <c r="L85" s="160">
        <v>164128</v>
      </c>
      <c r="M85" s="160"/>
      <c r="N85" s="160"/>
      <c r="O85" s="160"/>
      <c r="P85" s="160">
        <v>-12703</v>
      </c>
      <c r="Q85" s="160">
        <v>0</v>
      </c>
      <c r="R85" s="153">
        <v>164128</v>
      </c>
      <c r="S85" s="152"/>
      <c r="T85" s="152"/>
      <c r="U85" s="152"/>
      <c r="V85" s="176" t="s">
        <v>50</v>
      </c>
      <c r="W85" s="177"/>
      <c r="X85" s="178">
        <v>-15512</v>
      </c>
      <c r="Y85" s="178">
        <v>-16373</v>
      </c>
    </row>
    <row r="86" spans="1:29">
      <c r="A86" s="152" t="s">
        <v>146</v>
      </c>
      <c r="B86" s="153"/>
      <c r="C86" s="172"/>
      <c r="D86" s="172"/>
      <c r="E86" s="172"/>
      <c r="F86" s="170">
        <v>-15512</v>
      </c>
      <c r="G86" s="170">
        <v>62</v>
      </c>
      <c r="H86" s="170"/>
      <c r="I86" s="160">
        <v>-15450</v>
      </c>
      <c r="J86" s="160"/>
      <c r="K86" s="160">
        <v>62</v>
      </c>
      <c r="L86" s="160">
        <v>-15512</v>
      </c>
      <c r="M86" s="160"/>
      <c r="N86" s="160"/>
      <c r="O86" s="160"/>
      <c r="P86" s="160">
        <v>0</v>
      </c>
      <c r="Q86" s="160">
        <v>0</v>
      </c>
      <c r="R86" s="153">
        <v>-15512</v>
      </c>
      <c r="S86" s="152"/>
      <c r="T86" s="152"/>
      <c r="U86" s="152"/>
      <c r="V86" s="152"/>
      <c r="W86" s="152"/>
      <c r="X86" s="152"/>
      <c r="Y86" s="152"/>
    </row>
    <row r="87" spans="1:29">
      <c r="A87" s="152" t="s">
        <v>147</v>
      </c>
      <c r="B87" s="153"/>
      <c r="C87" s="174">
        <v>-3145</v>
      </c>
      <c r="D87" s="162"/>
      <c r="E87" s="174">
        <v>-1895</v>
      </c>
      <c r="F87" s="171">
        <v>-5402</v>
      </c>
      <c r="G87" s="171">
        <v>-592</v>
      </c>
      <c r="H87" s="171"/>
      <c r="I87" s="161">
        <v>-11034</v>
      </c>
      <c r="J87" s="161"/>
      <c r="K87" s="161">
        <v>-5632</v>
      </c>
      <c r="L87" s="161">
        <v>-5402</v>
      </c>
      <c r="M87" s="161"/>
      <c r="N87" s="161"/>
      <c r="O87" s="161">
        <v>0</v>
      </c>
      <c r="P87" s="161">
        <v>-1895</v>
      </c>
      <c r="Q87" s="161">
        <v>0</v>
      </c>
      <c r="R87" s="154">
        <v>-5402</v>
      </c>
      <c r="S87" s="152"/>
      <c r="T87" s="152"/>
      <c r="U87" s="152">
        <v>-3038</v>
      </c>
      <c r="V87" s="152"/>
      <c r="W87" s="152"/>
      <c r="X87" s="152"/>
      <c r="Y87" s="152"/>
    </row>
    <row r="88" spans="1:29">
      <c r="A88" s="152"/>
      <c r="B88" s="153"/>
      <c r="C88" s="153"/>
      <c r="D88" s="152"/>
      <c r="E88" s="153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</row>
    <row r="89" spans="1:29">
      <c r="A89" s="152" t="s">
        <v>148</v>
      </c>
      <c r="B89" s="153"/>
      <c r="C89" s="153">
        <v>338572</v>
      </c>
      <c r="D89" s="153">
        <v>-15</v>
      </c>
      <c r="E89" s="153">
        <v>18402</v>
      </c>
      <c r="F89" s="153">
        <v>439703</v>
      </c>
      <c r="G89" s="153">
        <v>20</v>
      </c>
      <c r="H89" s="153">
        <v>0</v>
      </c>
      <c r="I89" s="153">
        <v>796682</v>
      </c>
      <c r="J89" s="153">
        <v>0</v>
      </c>
      <c r="K89" s="153">
        <v>356979</v>
      </c>
      <c r="L89" s="153">
        <v>439703</v>
      </c>
      <c r="M89" s="153"/>
      <c r="N89" s="153"/>
      <c r="O89" s="153">
        <v>0</v>
      </c>
      <c r="P89" s="153">
        <v>18402</v>
      </c>
      <c r="Q89" s="153"/>
      <c r="R89" s="153">
        <v>439703</v>
      </c>
      <c r="S89" s="152"/>
      <c r="T89" s="152"/>
      <c r="U89" s="152"/>
      <c r="V89" s="152"/>
      <c r="W89" s="152"/>
      <c r="X89" s="152"/>
      <c r="Y89" s="152"/>
    </row>
    <row r="90" spans="1:29">
      <c r="A90" s="152"/>
      <c r="B90" s="153"/>
      <c r="C90" s="153"/>
      <c r="D90" s="152"/>
      <c r="E90" s="153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</row>
    <row r="91" spans="1:29" ht="13" thickBot="1">
      <c r="A91" s="152" t="s">
        <v>149</v>
      </c>
      <c r="B91" s="153"/>
      <c r="C91" s="155">
        <v>676208</v>
      </c>
      <c r="D91" s="155">
        <v>6</v>
      </c>
      <c r="E91" s="155">
        <v>38246</v>
      </c>
      <c r="F91" s="155">
        <v>445139</v>
      </c>
      <c r="G91" s="155">
        <v>246</v>
      </c>
      <c r="H91" s="155">
        <v>0</v>
      </c>
      <c r="I91" s="155">
        <v>1159845</v>
      </c>
      <c r="J91" s="155">
        <v>0</v>
      </c>
      <c r="K91" s="155">
        <v>384876</v>
      </c>
      <c r="L91" s="155">
        <v>774969</v>
      </c>
      <c r="M91" s="155">
        <v>0</v>
      </c>
      <c r="N91" s="155">
        <v>0</v>
      </c>
      <c r="O91" s="155">
        <v>0</v>
      </c>
      <c r="P91" s="155">
        <v>38246</v>
      </c>
      <c r="Q91" s="155">
        <v>0</v>
      </c>
      <c r="R91" s="155">
        <v>445139</v>
      </c>
      <c r="S91" s="152"/>
      <c r="T91" s="152"/>
      <c r="U91" s="152"/>
      <c r="V91" s="152"/>
      <c r="W91" s="152"/>
      <c r="X91" s="152"/>
      <c r="Y91" s="152"/>
    </row>
    <row r="92" spans="1:29" ht="13" thickTop="1">
      <c r="A92" s="152"/>
      <c r="B92" s="153"/>
      <c r="C92" s="153"/>
      <c r="D92" s="152"/>
      <c r="E92" s="153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</row>
    <row r="93" spans="1:29">
      <c r="A93" s="152"/>
      <c r="B93" s="153"/>
      <c r="C93" s="153">
        <v>0</v>
      </c>
      <c r="D93" s="153">
        <v>0</v>
      </c>
      <c r="E93" s="153">
        <v>0</v>
      </c>
      <c r="F93" s="153">
        <v>0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/>
      <c r="N93" s="153"/>
      <c r="O93" s="153">
        <v>0</v>
      </c>
      <c r="P93" s="153">
        <v>0</v>
      </c>
      <c r="Q93" s="153"/>
      <c r="R93" s="153">
        <v>-74959</v>
      </c>
      <c r="S93" s="152"/>
      <c r="T93" s="152"/>
      <c r="U93" s="152"/>
      <c r="V93" s="152"/>
      <c r="W93" s="152"/>
      <c r="X93" s="152"/>
      <c r="Y93" s="152"/>
    </row>
    <row r="94" spans="1:29">
      <c r="A94" s="152"/>
      <c r="B94" s="153"/>
      <c r="C94" s="153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60"/>
      <c r="P94" s="152"/>
      <c r="Q94" s="152"/>
      <c r="R94" s="152"/>
      <c r="S94" s="152"/>
      <c r="T94" s="152"/>
      <c r="U94" s="152"/>
      <c r="V94" s="152"/>
      <c r="W94" s="152"/>
      <c r="X94" s="152"/>
      <c r="Y94" s="152"/>
    </row>
    <row r="95" spans="1:29">
      <c r="A95" s="152" t="s">
        <v>118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</row>
    <row r="96" spans="1:29">
      <c r="A96" s="152" t="s">
        <v>72</v>
      </c>
      <c r="B96" s="152"/>
      <c r="C96" s="167">
        <v>41729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68">
        <v>41743.60204849537</v>
      </c>
      <c r="Q96" s="152"/>
      <c r="R96" s="152"/>
      <c r="S96" s="152"/>
      <c r="T96" s="152"/>
      <c r="U96" s="152"/>
      <c r="V96" s="152"/>
      <c r="W96" s="152"/>
      <c r="X96" s="152"/>
      <c r="Y96" s="152"/>
      <c r="AA96" s="101" t="s">
        <v>72</v>
      </c>
      <c r="AC96" s="102">
        <v>41729</v>
      </c>
    </row>
    <row r="97" spans="1:37">
      <c r="A97" s="159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AA97" s="109"/>
    </row>
    <row r="98" spans="1:37">
      <c r="A98" s="152"/>
      <c r="B98" s="152"/>
      <c r="C98" s="163" t="s">
        <v>73</v>
      </c>
      <c r="D98" s="152" t="s">
        <v>74</v>
      </c>
      <c r="E98" s="173" t="s">
        <v>75</v>
      </c>
      <c r="F98" s="163" t="s">
        <v>76</v>
      </c>
      <c r="G98" s="163" t="s">
        <v>77</v>
      </c>
      <c r="H98" s="163" t="s">
        <v>78</v>
      </c>
      <c r="I98" s="152" t="s">
        <v>79</v>
      </c>
      <c r="J98" s="163" t="s">
        <v>81</v>
      </c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AC98" s="103" t="s">
        <v>73</v>
      </c>
      <c r="AD98" s="101" t="s">
        <v>74</v>
      </c>
      <c r="AE98" s="114" t="s">
        <v>75</v>
      </c>
      <c r="AF98" s="103" t="s">
        <v>76</v>
      </c>
      <c r="AG98" s="103" t="s">
        <v>77</v>
      </c>
      <c r="AH98" s="103" t="s">
        <v>78</v>
      </c>
      <c r="AI98" s="101" t="s">
        <v>79</v>
      </c>
      <c r="AJ98" s="103" t="s">
        <v>81</v>
      </c>
    </row>
    <row r="99" spans="1:37">
      <c r="A99" s="152" t="s">
        <v>82</v>
      </c>
      <c r="B99" s="152"/>
      <c r="C99" s="164">
        <v>41729</v>
      </c>
      <c r="D99" s="164">
        <v>41729</v>
      </c>
      <c r="E99" s="164">
        <v>41729</v>
      </c>
      <c r="F99" s="164">
        <v>41729</v>
      </c>
      <c r="G99" s="164">
        <v>41729</v>
      </c>
      <c r="H99" s="164">
        <v>41729</v>
      </c>
      <c r="I99" s="164">
        <v>41729</v>
      </c>
      <c r="J99" s="165" t="s">
        <v>84</v>
      </c>
      <c r="K99" s="165" t="s">
        <v>85</v>
      </c>
      <c r="L99" s="152"/>
      <c r="M99" s="166" t="s">
        <v>73</v>
      </c>
      <c r="N99" s="166" t="s">
        <v>119</v>
      </c>
      <c r="O99" s="166" t="s">
        <v>120</v>
      </c>
      <c r="P99" s="166" t="s">
        <v>88</v>
      </c>
      <c r="Q99" s="166" t="s">
        <v>89</v>
      </c>
      <c r="R99" s="152"/>
      <c r="S99" s="152"/>
      <c r="T99" s="152"/>
      <c r="U99" s="152"/>
      <c r="V99" s="152"/>
      <c r="W99" s="152"/>
      <c r="X99" s="152"/>
      <c r="AA99" s="101" t="s">
        <v>82</v>
      </c>
      <c r="AC99" s="104">
        <v>41729</v>
      </c>
      <c r="AD99" s="104">
        <v>41729</v>
      </c>
      <c r="AE99" s="104">
        <v>41729</v>
      </c>
      <c r="AF99" s="104">
        <v>41729</v>
      </c>
      <c r="AG99" s="104">
        <v>41729</v>
      </c>
      <c r="AH99" s="104">
        <v>41729</v>
      </c>
      <c r="AI99" s="104">
        <v>41729</v>
      </c>
      <c r="AJ99" s="105" t="s">
        <v>84</v>
      </c>
      <c r="AK99" s="105" t="s">
        <v>85</v>
      </c>
    </row>
    <row r="100" spans="1:37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</row>
    <row r="101" spans="1:37" ht="14.5">
      <c r="A101" s="152" t="s">
        <v>150</v>
      </c>
      <c r="B101" s="153"/>
      <c r="C101" s="153">
        <v>82220</v>
      </c>
      <c r="D101" s="152"/>
      <c r="E101" s="172">
        <v>1222</v>
      </c>
      <c r="F101" s="152"/>
      <c r="G101" s="153"/>
      <c r="H101" s="153"/>
      <c r="I101" s="160">
        <v>83442</v>
      </c>
      <c r="J101" s="172">
        <v>884</v>
      </c>
      <c r="K101" s="160">
        <v>82558</v>
      </c>
      <c r="L101" s="152"/>
      <c r="M101" s="160"/>
      <c r="N101" s="160"/>
      <c r="O101" s="160">
        <v>1222</v>
      </c>
      <c r="P101" s="160"/>
      <c r="Q101" s="160">
        <v>0</v>
      </c>
      <c r="R101" s="152"/>
      <c r="S101" s="152"/>
      <c r="T101" s="152"/>
      <c r="U101" s="152"/>
      <c r="V101" s="152"/>
      <c r="W101" s="152"/>
      <c r="X101" s="152"/>
      <c r="AA101" s="101" t="s">
        <v>150</v>
      </c>
      <c r="AB101" s="106"/>
      <c r="AC101" s="106">
        <f>C101-C154</f>
        <v>82220</v>
      </c>
      <c r="AD101" s="106">
        <f t="shared" ref="AD101:AK101" si="0">D101-D154</f>
        <v>0</v>
      </c>
      <c r="AE101" s="108">
        <f t="shared" si="0"/>
        <v>1222</v>
      </c>
      <c r="AF101" s="106">
        <f t="shared" si="0"/>
        <v>0</v>
      </c>
      <c r="AG101" s="106">
        <f t="shared" si="0"/>
        <v>0</v>
      </c>
      <c r="AH101" s="106">
        <f t="shared" si="0"/>
        <v>0</v>
      </c>
      <c r="AI101" s="106">
        <f t="shared" si="0"/>
        <v>83442</v>
      </c>
      <c r="AJ101" s="108">
        <f t="shared" si="0"/>
        <v>884</v>
      </c>
      <c r="AK101" s="106">
        <f t="shared" si="0"/>
        <v>62865.067555402769</v>
      </c>
    </row>
    <row r="102" spans="1:37" ht="14.5">
      <c r="A102" s="152" t="s">
        <v>151</v>
      </c>
      <c r="B102" s="157"/>
      <c r="C102" s="153">
        <v>2700</v>
      </c>
      <c r="D102" s="152"/>
      <c r="E102" s="172"/>
      <c r="F102" s="152"/>
      <c r="G102" s="153"/>
      <c r="H102" s="153"/>
      <c r="I102" s="160">
        <v>2700</v>
      </c>
      <c r="J102" s="172"/>
      <c r="K102" s="160">
        <v>2700</v>
      </c>
      <c r="L102" s="152"/>
      <c r="M102" s="160"/>
      <c r="N102" s="160"/>
      <c r="O102" s="160">
        <v>0</v>
      </c>
      <c r="P102" s="160"/>
      <c r="Q102" s="160">
        <v>0</v>
      </c>
      <c r="R102" s="152"/>
      <c r="S102" s="152"/>
      <c r="T102" s="152"/>
      <c r="U102" s="152"/>
      <c r="V102" s="152"/>
      <c r="W102" s="152"/>
      <c r="X102" s="152"/>
      <c r="AA102" s="101" t="s">
        <v>151</v>
      </c>
      <c r="AB102" s="115"/>
      <c r="AC102" s="106">
        <f t="shared" ref="AC102:AK107" si="1">C102-C155</f>
        <v>2700</v>
      </c>
      <c r="AD102" s="106">
        <f t="shared" si="1"/>
        <v>0</v>
      </c>
      <c r="AE102" s="108">
        <f t="shared" si="1"/>
        <v>0</v>
      </c>
      <c r="AF102" s="106">
        <f t="shared" si="1"/>
        <v>0</v>
      </c>
      <c r="AG102" s="106">
        <f t="shared" si="1"/>
        <v>0</v>
      </c>
      <c r="AH102" s="106">
        <f t="shared" si="1"/>
        <v>0</v>
      </c>
      <c r="AI102" s="106">
        <f t="shared" si="1"/>
        <v>2700</v>
      </c>
      <c r="AJ102" s="108">
        <f t="shared" si="1"/>
        <v>0</v>
      </c>
      <c r="AK102" s="106">
        <f t="shared" si="1"/>
        <v>-15541.092787291091</v>
      </c>
    </row>
    <row r="103" spans="1:37" ht="14.5">
      <c r="A103" s="152" t="s">
        <v>152</v>
      </c>
      <c r="B103" s="157"/>
      <c r="C103" s="153">
        <v>12739</v>
      </c>
      <c r="D103" s="152"/>
      <c r="E103" s="172">
        <v>293</v>
      </c>
      <c r="F103" s="152"/>
      <c r="G103" s="153"/>
      <c r="H103" s="153"/>
      <c r="I103" s="160">
        <v>13032</v>
      </c>
      <c r="J103" s="172">
        <v>136</v>
      </c>
      <c r="K103" s="160">
        <v>12896</v>
      </c>
      <c r="L103" s="152"/>
      <c r="M103" s="160"/>
      <c r="N103" s="160"/>
      <c r="O103" s="160">
        <v>293</v>
      </c>
      <c r="P103" s="160"/>
      <c r="Q103" s="160">
        <v>0</v>
      </c>
      <c r="R103" s="152"/>
      <c r="S103" s="152"/>
      <c r="T103" s="152"/>
      <c r="U103" s="152"/>
      <c r="V103" s="152"/>
      <c r="W103" s="152"/>
      <c r="X103" s="152"/>
      <c r="AA103" s="101" t="s">
        <v>152</v>
      </c>
      <c r="AB103" s="115"/>
      <c r="AC103" s="106">
        <f t="shared" si="1"/>
        <v>12739</v>
      </c>
      <c r="AD103" s="106">
        <f t="shared" si="1"/>
        <v>0</v>
      </c>
      <c r="AE103" s="108">
        <f t="shared" si="1"/>
        <v>293</v>
      </c>
      <c r="AF103" s="106">
        <f t="shared" si="1"/>
        <v>0</v>
      </c>
      <c r="AG103" s="106">
        <f t="shared" si="1"/>
        <v>0</v>
      </c>
      <c r="AH103" s="106">
        <f t="shared" si="1"/>
        <v>0</v>
      </c>
      <c r="AI103" s="106">
        <f t="shared" si="1"/>
        <v>13032</v>
      </c>
      <c r="AJ103" s="108">
        <f t="shared" si="1"/>
        <v>136</v>
      </c>
      <c r="AK103" s="106">
        <f t="shared" si="1"/>
        <v>11605</v>
      </c>
    </row>
    <row r="104" spans="1:37" ht="14.5">
      <c r="A104" s="159" t="s">
        <v>153</v>
      </c>
      <c r="B104" s="152"/>
      <c r="C104" s="154">
        <v>364</v>
      </c>
      <c r="D104" s="161"/>
      <c r="E104" s="174"/>
      <c r="F104" s="162"/>
      <c r="G104" s="154"/>
      <c r="H104" s="154"/>
      <c r="I104" s="161">
        <v>364</v>
      </c>
      <c r="J104" s="174"/>
      <c r="K104" s="161">
        <v>364</v>
      </c>
      <c r="L104" s="152"/>
      <c r="M104" s="160"/>
      <c r="N104" s="160"/>
      <c r="O104" s="161">
        <v>0</v>
      </c>
      <c r="P104" s="160"/>
      <c r="Q104" s="161">
        <v>0</v>
      </c>
      <c r="R104" s="152"/>
      <c r="S104" s="160"/>
      <c r="T104" s="152"/>
      <c r="U104" s="152"/>
      <c r="V104" s="152"/>
      <c r="W104" s="152"/>
      <c r="X104" s="152"/>
      <c r="AA104" s="109" t="s">
        <v>153</v>
      </c>
      <c r="AC104" s="111">
        <f t="shared" si="1"/>
        <v>364</v>
      </c>
      <c r="AD104" s="111">
        <f t="shared" si="1"/>
        <v>0</v>
      </c>
      <c r="AE104" s="110">
        <f t="shared" si="1"/>
        <v>0</v>
      </c>
      <c r="AF104" s="111">
        <f t="shared" si="1"/>
        <v>0</v>
      </c>
      <c r="AG104" s="111">
        <f t="shared" si="1"/>
        <v>0</v>
      </c>
      <c r="AH104" s="111">
        <f t="shared" si="1"/>
        <v>0</v>
      </c>
      <c r="AI104" s="111">
        <f t="shared" si="1"/>
        <v>364</v>
      </c>
      <c r="AJ104" s="110">
        <f t="shared" si="1"/>
        <v>0</v>
      </c>
      <c r="AK104" s="111">
        <f t="shared" si="1"/>
        <v>-323.81372388884904</v>
      </c>
    </row>
    <row r="105" spans="1:37" ht="14.5">
      <c r="A105" s="152"/>
      <c r="B105" s="157"/>
      <c r="C105" s="156"/>
      <c r="D105" s="152"/>
      <c r="E105" s="152"/>
      <c r="F105" s="152"/>
      <c r="G105" s="153"/>
      <c r="H105" s="153"/>
      <c r="I105" s="152"/>
      <c r="J105" s="17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AB105" s="115"/>
      <c r="AC105" s="116">
        <f t="shared" si="1"/>
        <v>0</v>
      </c>
      <c r="AD105" s="106">
        <f t="shared" si="1"/>
        <v>0</v>
      </c>
      <c r="AE105" s="108">
        <f t="shared" si="1"/>
        <v>0</v>
      </c>
      <c r="AF105" s="106">
        <f t="shared" si="1"/>
        <v>0</v>
      </c>
      <c r="AG105" s="106">
        <f t="shared" si="1"/>
        <v>0</v>
      </c>
      <c r="AH105" s="106">
        <f t="shared" si="1"/>
        <v>0</v>
      </c>
      <c r="AI105" s="106">
        <f t="shared" si="1"/>
        <v>0</v>
      </c>
      <c r="AJ105" s="108">
        <f t="shared" si="1"/>
        <v>0</v>
      </c>
      <c r="AK105" s="106">
        <f t="shared" si="1"/>
        <v>0</v>
      </c>
    </row>
    <row r="106" spans="1:37" ht="14.5">
      <c r="A106" s="152" t="s">
        <v>154</v>
      </c>
      <c r="B106" s="157"/>
      <c r="C106" s="153">
        <v>67145</v>
      </c>
      <c r="D106" s="152"/>
      <c r="E106" s="172">
        <v>929</v>
      </c>
      <c r="F106" s="152"/>
      <c r="G106" s="153">
        <v>0</v>
      </c>
      <c r="H106" s="153">
        <v>0</v>
      </c>
      <c r="I106" s="153">
        <v>68074</v>
      </c>
      <c r="J106" s="172">
        <v>748</v>
      </c>
      <c r="K106" s="153">
        <v>67326</v>
      </c>
      <c r="L106" s="160"/>
      <c r="M106" s="153"/>
      <c r="N106" s="153"/>
      <c r="O106" s="153"/>
      <c r="P106" s="153"/>
      <c r="Q106" s="153"/>
      <c r="R106" s="152"/>
      <c r="S106" s="152"/>
      <c r="T106" s="152"/>
      <c r="U106" s="159" t="s">
        <v>155</v>
      </c>
      <c r="V106" s="152"/>
      <c r="W106" s="152"/>
      <c r="X106" s="198">
        <v>524</v>
      </c>
      <c r="AA106" s="101" t="s">
        <v>154</v>
      </c>
      <c r="AB106" s="115"/>
      <c r="AC106" s="106">
        <f t="shared" si="1"/>
        <v>67145</v>
      </c>
      <c r="AD106" s="106">
        <f t="shared" si="1"/>
        <v>0</v>
      </c>
      <c r="AE106" s="108">
        <f t="shared" si="1"/>
        <v>929</v>
      </c>
      <c r="AF106" s="106">
        <f t="shared" si="1"/>
        <v>0</v>
      </c>
      <c r="AG106" s="106">
        <f t="shared" si="1"/>
        <v>0</v>
      </c>
      <c r="AH106" s="106">
        <f t="shared" si="1"/>
        <v>0</v>
      </c>
      <c r="AI106" s="106">
        <f t="shared" si="1"/>
        <v>68074</v>
      </c>
      <c r="AJ106" s="108">
        <f t="shared" si="1"/>
        <v>748</v>
      </c>
      <c r="AK106" s="106">
        <f t="shared" si="1"/>
        <v>66799.025933417288</v>
      </c>
    </row>
    <row r="107" spans="1:37" ht="14.5">
      <c r="A107" s="152" t="s">
        <v>156</v>
      </c>
      <c r="B107" s="157"/>
      <c r="C107" s="154">
        <v>30609</v>
      </c>
      <c r="D107" s="162"/>
      <c r="E107" s="174">
        <v>524</v>
      </c>
      <c r="F107" s="162"/>
      <c r="G107" s="154"/>
      <c r="H107" s="154"/>
      <c r="I107" s="161">
        <v>31133</v>
      </c>
      <c r="J107" s="174">
        <v>583</v>
      </c>
      <c r="K107" s="161">
        <v>30550</v>
      </c>
      <c r="L107" s="160"/>
      <c r="M107" s="160"/>
      <c r="N107" s="160"/>
      <c r="O107" s="161"/>
      <c r="P107" s="160"/>
      <c r="Q107" s="161"/>
      <c r="R107" s="152"/>
      <c r="S107" s="152"/>
      <c r="T107" s="152"/>
      <c r="U107" s="159" t="s">
        <v>157</v>
      </c>
      <c r="V107" s="152"/>
      <c r="W107" s="152"/>
      <c r="X107" s="198">
        <v>188.4828</v>
      </c>
      <c r="AA107" s="101" t="s">
        <v>156</v>
      </c>
      <c r="AB107" s="115"/>
      <c r="AC107" s="111">
        <f>C107-C160</f>
        <v>30609</v>
      </c>
      <c r="AD107" s="111">
        <f t="shared" si="1"/>
        <v>0</v>
      </c>
      <c r="AE107" s="110">
        <f t="shared" si="1"/>
        <v>524</v>
      </c>
      <c r="AF107" s="111">
        <f t="shared" si="1"/>
        <v>0</v>
      </c>
      <c r="AG107" s="111">
        <f t="shared" si="1"/>
        <v>0</v>
      </c>
      <c r="AH107" s="111">
        <f t="shared" si="1"/>
        <v>0</v>
      </c>
      <c r="AI107" s="111">
        <f t="shared" si="1"/>
        <v>31133</v>
      </c>
      <c r="AJ107" s="110">
        <f t="shared" si="1"/>
        <v>583</v>
      </c>
      <c r="AK107" s="111">
        <f t="shared" si="1"/>
        <v>30550</v>
      </c>
    </row>
    <row r="108" spans="1:37" ht="14.5">
      <c r="A108" s="152"/>
      <c r="B108" s="157"/>
      <c r="C108" s="153"/>
      <c r="D108" s="152"/>
      <c r="E108" s="152"/>
      <c r="F108" s="152"/>
      <c r="G108" s="153"/>
      <c r="H108" s="153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9" t="s">
        <v>158</v>
      </c>
      <c r="V108" s="152"/>
      <c r="W108" s="152"/>
      <c r="X108" s="198">
        <v>335.5172</v>
      </c>
      <c r="AB108" s="115"/>
      <c r="AC108" s="106">
        <f t="shared" ref="AC108:AK123" si="2">C108-C161</f>
        <v>0</v>
      </c>
      <c r="AD108" s="106">
        <f t="shared" si="2"/>
        <v>0</v>
      </c>
      <c r="AE108" s="106">
        <f t="shared" si="2"/>
        <v>0</v>
      </c>
      <c r="AF108" s="106">
        <f t="shared" si="2"/>
        <v>0</v>
      </c>
      <c r="AG108" s="106">
        <f t="shared" si="2"/>
        <v>0</v>
      </c>
      <c r="AH108" s="106">
        <f t="shared" si="2"/>
        <v>0</v>
      </c>
      <c r="AI108" s="106">
        <f t="shared" si="2"/>
        <v>0</v>
      </c>
      <c r="AJ108" s="108">
        <f t="shared" si="2"/>
        <v>0</v>
      </c>
      <c r="AK108" s="106">
        <f t="shared" si="2"/>
        <v>0</v>
      </c>
    </row>
    <row r="109" spans="1:37" ht="14.5">
      <c r="A109" s="152" t="s">
        <v>159</v>
      </c>
      <c r="B109" s="157"/>
      <c r="C109" s="153">
        <v>36536</v>
      </c>
      <c r="D109" s="153">
        <v>0</v>
      </c>
      <c r="E109" s="153">
        <v>405</v>
      </c>
      <c r="F109" s="153">
        <v>0</v>
      </c>
      <c r="G109" s="153">
        <v>0</v>
      </c>
      <c r="H109" s="153">
        <v>0</v>
      </c>
      <c r="I109" s="153">
        <v>36941</v>
      </c>
      <c r="J109" s="172">
        <v>165</v>
      </c>
      <c r="K109" s="160">
        <v>36776</v>
      </c>
      <c r="L109" s="160"/>
      <c r="M109" s="160"/>
      <c r="N109" s="160"/>
      <c r="O109" s="153"/>
      <c r="P109" s="160"/>
      <c r="Q109" s="153"/>
      <c r="R109" s="152"/>
      <c r="S109" s="160"/>
      <c r="T109" s="152"/>
      <c r="U109" s="152"/>
      <c r="V109" s="152"/>
      <c r="W109" s="152"/>
      <c r="X109" s="152"/>
      <c r="AA109" s="101" t="s">
        <v>159</v>
      </c>
      <c r="AB109" s="115"/>
      <c r="AC109" s="106">
        <f t="shared" si="2"/>
        <v>36536</v>
      </c>
      <c r="AD109" s="106">
        <f t="shared" si="2"/>
        <v>0</v>
      </c>
      <c r="AE109" s="106">
        <f t="shared" si="2"/>
        <v>405</v>
      </c>
      <c r="AF109" s="106">
        <f t="shared" si="2"/>
        <v>0</v>
      </c>
      <c r="AG109" s="106">
        <f t="shared" si="2"/>
        <v>0</v>
      </c>
      <c r="AH109" s="106">
        <f t="shared" si="2"/>
        <v>0</v>
      </c>
      <c r="AI109" s="106">
        <f t="shared" si="2"/>
        <v>36941</v>
      </c>
      <c r="AJ109" s="108">
        <f t="shared" si="2"/>
        <v>165</v>
      </c>
      <c r="AK109" s="106">
        <f t="shared" si="2"/>
        <v>34000.398498730014</v>
      </c>
    </row>
    <row r="110" spans="1:37" ht="14.5">
      <c r="A110" s="152"/>
      <c r="B110" s="157"/>
      <c r="C110" s="153"/>
      <c r="D110" s="152"/>
      <c r="E110" s="152"/>
      <c r="F110" s="152"/>
      <c r="G110" s="153"/>
      <c r="H110" s="153"/>
      <c r="I110" s="152"/>
      <c r="J110" s="152"/>
      <c r="K110" s="152"/>
      <c r="L110" s="179"/>
      <c r="M110" s="152"/>
      <c r="N110" s="152"/>
      <c r="O110" s="152"/>
      <c r="P110" s="152"/>
      <c r="Q110" s="152"/>
      <c r="R110" s="152"/>
      <c r="S110" s="160"/>
      <c r="T110" s="196">
        <v>0</v>
      </c>
      <c r="U110" s="159" t="s">
        <v>160</v>
      </c>
      <c r="V110" s="152"/>
      <c r="W110" s="152"/>
      <c r="X110" s="152"/>
      <c r="AB110" s="115"/>
      <c r="AC110" s="106">
        <f t="shared" si="2"/>
        <v>0</v>
      </c>
      <c r="AD110" s="106">
        <f t="shared" si="2"/>
        <v>0</v>
      </c>
      <c r="AE110" s="106">
        <f t="shared" si="2"/>
        <v>0</v>
      </c>
      <c r="AF110" s="106">
        <f t="shared" si="2"/>
        <v>0</v>
      </c>
      <c r="AG110" s="106">
        <f t="shared" si="2"/>
        <v>0</v>
      </c>
      <c r="AH110" s="106">
        <f t="shared" si="2"/>
        <v>0</v>
      </c>
      <c r="AI110" s="106">
        <f t="shared" si="2"/>
        <v>0</v>
      </c>
      <c r="AJ110" s="108">
        <f t="shared" si="2"/>
        <v>0</v>
      </c>
      <c r="AK110" s="106">
        <f t="shared" si="2"/>
        <v>-2665.8305620537099</v>
      </c>
    </row>
    <row r="111" spans="1:37" ht="14.5">
      <c r="A111" s="152" t="s">
        <v>161</v>
      </c>
      <c r="B111" s="157"/>
      <c r="C111" s="156">
        <v>0</v>
      </c>
      <c r="D111" s="152"/>
      <c r="E111" s="153">
        <v>0</v>
      </c>
      <c r="F111" s="153">
        <v>-5189</v>
      </c>
      <c r="G111" s="153"/>
      <c r="H111" s="153"/>
      <c r="I111" s="160">
        <v>-5189</v>
      </c>
      <c r="J111" s="172">
        <v>-5189</v>
      </c>
      <c r="K111" s="160">
        <v>0</v>
      </c>
      <c r="L111" s="152"/>
      <c r="M111" s="160"/>
      <c r="N111" s="160"/>
      <c r="O111" s="160">
        <v>0</v>
      </c>
      <c r="P111" s="160"/>
      <c r="Q111" s="160">
        <v>-5189</v>
      </c>
      <c r="R111" s="152"/>
      <c r="S111" s="152"/>
      <c r="T111" s="152">
        <v>324.88</v>
      </c>
      <c r="U111" s="159" t="s">
        <v>162</v>
      </c>
      <c r="V111" s="152"/>
      <c r="W111" s="152"/>
      <c r="X111" s="198">
        <v>748</v>
      </c>
      <c r="AA111" s="101" t="s">
        <v>161</v>
      </c>
      <c r="AB111" s="115"/>
      <c r="AC111" s="116">
        <f t="shared" si="2"/>
        <v>0</v>
      </c>
      <c r="AD111" s="106">
        <f t="shared" si="2"/>
        <v>0</v>
      </c>
      <c r="AE111" s="106">
        <f t="shared" si="2"/>
        <v>0</v>
      </c>
      <c r="AF111" s="106">
        <f t="shared" si="2"/>
        <v>-5189</v>
      </c>
      <c r="AG111" s="106">
        <f t="shared" si="2"/>
        <v>0</v>
      </c>
      <c r="AH111" s="106">
        <f t="shared" si="2"/>
        <v>0</v>
      </c>
      <c r="AI111" s="106">
        <f t="shared" si="2"/>
        <v>-5189</v>
      </c>
      <c r="AJ111" s="108">
        <f t="shared" si="2"/>
        <v>-5189</v>
      </c>
      <c r="AK111" s="106">
        <f t="shared" si="2"/>
        <v>-185.44597201318413</v>
      </c>
    </row>
    <row r="112" spans="1:37" ht="14.5">
      <c r="A112" s="152"/>
      <c r="B112" s="157"/>
      <c r="C112" s="153"/>
      <c r="D112" s="152"/>
      <c r="E112" s="153"/>
      <c r="F112" s="152"/>
      <c r="G112" s="153"/>
      <c r="H112" s="153"/>
      <c r="I112" s="152"/>
      <c r="J112" s="152"/>
      <c r="K112" s="152"/>
      <c r="L112" s="160"/>
      <c r="M112" s="152"/>
      <c r="N112" s="152"/>
      <c r="O112" s="152"/>
      <c r="P112" s="152"/>
      <c r="Q112" s="152"/>
      <c r="R112" s="152"/>
      <c r="S112" s="160"/>
      <c r="T112" s="152"/>
      <c r="U112" s="159" t="s">
        <v>163</v>
      </c>
      <c r="V112" s="152"/>
      <c r="W112" s="152"/>
      <c r="X112" s="198">
        <v>247.06439999999998</v>
      </c>
      <c r="AB112" s="115"/>
      <c r="AC112" s="106">
        <f t="shared" si="2"/>
        <v>0</v>
      </c>
      <c r="AD112" s="106">
        <f t="shared" si="2"/>
        <v>0</v>
      </c>
      <c r="AE112" s="106">
        <f t="shared" si="2"/>
        <v>0</v>
      </c>
      <c r="AF112" s="106">
        <f t="shared" si="2"/>
        <v>0</v>
      </c>
      <c r="AG112" s="106">
        <f t="shared" si="2"/>
        <v>0</v>
      </c>
      <c r="AH112" s="106">
        <f t="shared" si="2"/>
        <v>0</v>
      </c>
      <c r="AI112" s="106">
        <f t="shared" si="2"/>
        <v>0</v>
      </c>
      <c r="AJ112" s="108">
        <f t="shared" si="2"/>
        <v>0</v>
      </c>
      <c r="AK112" s="106">
        <f t="shared" si="2"/>
        <v>-75.6750327969051</v>
      </c>
    </row>
    <row r="113" spans="1:37" ht="14.5">
      <c r="A113" s="152" t="s">
        <v>164</v>
      </c>
      <c r="B113" s="157"/>
      <c r="C113" s="156">
        <v>2730</v>
      </c>
      <c r="D113" s="152"/>
      <c r="E113" s="153">
        <v>2</v>
      </c>
      <c r="F113" s="153">
        <v>21</v>
      </c>
      <c r="G113" s="153"/>
      <c r="H113" s="153"/>
      <c r="I113" s="160">
        <v>2753</v>
      </c>
      <c r="J113" s="160"/>
      <c r="K113" s="160">
        <v>2753</v>
      </c>
      <c r="L113" s="152"/>
      <c r="M113" s="160"/>
      <c r="N113" s="160"/>
      <c r="O113" s="160">
        <v>2</v>
      </c>
      <c r="P113" s="160"/>
      <c r="Q113" s="160">
        <v>21</v>
      </c>
      <c r="R113" s="152"/>
      <c r="S113" s="152"/>
      <c r="T113" s="152"/>
      <c r="U113" s="159" t="s">
        <v>165</v>
      </c>
      <c r="V113" s="152"/>
      <c r="W113" s="152"/>
      <c r="X113" s="198">
        <v>500.93560000000002</v>
      </c>
      <c r="Y113" s="152"/>
      <c r="AA113" s="101" t="s">
        <v>164</v>
      </c>
      <c r="AB113" s="115"/>
      <c r="AC113" s="116">
        <f t="shared" si="2"/>
        <v>2730</v>
      </c>
      <c r="AD113" s="106">
        <f t="shared" si="2"/>
        <v>0</v>
      </c>
      <c r="AE113" s="106">
        <f t="shared" si="2"/>
        <v>2</v>
      </c>
      <c r="AF113" s="106">
        <f t="shared" si="2"/>
        <v>21</v>
      </c>
      <c r="AG113" s="106">
        <f t="shared" si="2"/>
        <v>0</v>
      </c>
      <c r="AH113" s="106">
        <f t="shared" si="2"/>
        <v>0</v>
      </c>
      <c r="AI113" s="106">
        <f t="shared" si="2"/>
        <v>2753</v>
      </c>
      <c r="AJ113" s="108">
        <f t="shared" si="2"/>
        <v>0</v>
      </c>
      <c r="AK113" s="117">
        <f t="shared" si="2"/>
        <v>2753</v>
      </c>
    </row>
    <row r="114" spans="1:37" ht="14.5">
      <c r="A114" s="152" t="s">
        <v>166</v>
      </c>
      <c r="B114" s="157"/>
      <c r="C114" s="153">
        <v>3617</v>
      </c>
      <c r="D114" s="152"/>
      <c r="E114" s="153"/>
      <c r="F114" s="152"/>
      <c r="G114" s="153"/>
      <c r="H114" s="153"/>
      <c r="I114" s="160">
        <v>3617</v>
      </c>
      <c r="J114" s="152"/>
      <c r="K114" s="160">
        <v>3617</v>
      </c>
      <c r="L114" s="152"/>
      <c r="M114" s="160"/>
      <c r="N114" s="160"/>
      <c r="O114" s="160">
        <v>0</v>
      </c>
      <c r="P114" s="160"/>
      <c r="Q114" s="160">
        <v>0</v>
      </c>
      <c r="R114" s="152"/>
      <c r="S114" s="152"/>
      <c r="T114" s="152"/>
      <c r="U114" s="152"/>
      <c r="V114" s="152"/>
      <c r="W114" s="152"/>
      <c r="X114" s="152"/>
      <c r="Y114" s="152"/>
      <c r="AA114" s="101" t="s">
        <v>166</v>
      </c>
      <c r="AB114" s="115"/>
      <c r="AC114" s="106">
        <f t="shared" si="2"/>
        <v>3617</v>
      </c>
      <c r="AD114" s="106">
        <f t="shared" si="2"/>
        <v>0</v>
      </c>
      <c r="AE114" s="106">
        <f t="shared" si="2"/>
        <v>0</v>
      </c>
      <c r="AF114" s="106">
        <f t="shared" si="2"/>
        <v>0</v>
      </c>
      <c r="AG114" s="106">
        <f t="shared" si="2"/>
        <v>0</v>
      </c>
      <c r="AH114" s="106">
        <f t="shared" si="2"/>
        <v>0</v>
      </c>
      <c r="AI114" s="106">
        <f t="shared" si="2"/>
        <v>3617</v>
      </c>
      <c r="AJ114" s="108">
        <f t="shared" si="2"/>
        <v>0</v>
      </c>
      <c r="AK114" s="117">
        <f t="shared" si="2"/>
        <v>-13300.330943327237</v>
      </c>
    </row>
    <row r="115" spans="1:37" ht="14.5">
      <c r="A115" s="152"/>
      <c r="B115" s="157"/>
      <c r="C115" s="153"/>
      <c r="D115" s="152"/>
      <c r="E115" s="153"/>
      <c r="F115" s="152"/>
      <c r="G115" s="153"/>
      <c r="H115" s="153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60">
        <v>284.24</v>
      </c>
      <c r="U115" s="152"/>
      <c r="V115" s="152"/>
      <c r="W115" s="152"/>
      <c r="X115" s="152"/>
      <c r="Y115" s="152"/>
      <c r="AB115" s="115"/>
      <c r="AC115" s="106">
        <f t="shared" si="2"/>
        <v>0</v>
      </c>
      <c r="AD115" s="106">
        <f t="shared" si="2"/>
        <v>0</v>
      </c>
      <c r="AE115" s="106">
        <f t="shared" si="2"/>
        <v>0</v>
      </c>
      <c r="AF115" s="106">
        <f t="shared" si="2"/>
        <v>0</v>
      </c>
      <c r="AG115" s="106">
        <f t="shared" si="2"/>
        <v>0</v>
      </c>
      <c r="AH115" s="106">
        <f t="shared" si="2"/>
        <v>0</v>
      </c>
      <c r="AI115" s="106">
        <f t="shared" si="2"/>
        <v>0</v>
      </c>
      <c r="AJ115" s="108">
        <f t="shared" si="2"/>
        <v>0</v>
      </c>
      <c r="AK115" s="106">
        <f t="shared" si="2"/>
        <v>-6660.0517582020475</v>
      </c>
    </row>
    <row r="116" spans="1:37" ht="14.5">
      <c r="A116" s="152" t="s">
        <v>167</v>
      </c>
      <c r="B116" s="157"/>
      <c r="C116" s="153"/>
      <c r="D116" s="152"/>
      <c r="E116" s="153"/>
      <c r="F116" s="152"/>
      <c r="G116" s="153"/>
      <c r="H116" s="153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60">
        <v>-284.24</v>
      </c>
      <c r="U116" s="159" t="s">
        <v>168</v>
      </c>
      <c r="V116" s="152"/>
      <c r="W116" s="152"/>
      <c r="X116" s="159" t="s">
        <v>169</v>
      </c>
      <c r="Y116" s="152"/>
      <c r="AA116" s="101" t="s">
        <v>167</v>
      </c>
      <c r="AB116" s="115"/>
      <c r="AC116" s="106">
        <f t="shared" si="2"/>
        <v>0</v>
      </c>
      <c r="AD116" s="106">
        <f t="shared" si="2"/>
        <v>0</v>
      </c>
      <c r="AE116" s="106">
        <f t="shared" si="2"/>
        <v>0</v>
      </c>
      <c r="AF116" s="106">
        <f t="shared" si="2"/>
        <v>0</v>
      </c>
      <c r="AG116" s="106">
        <f t="shared" si="2"/>
        <v>0</v>
      </c>
      <c r="AH116" s="106">
        <f t="shared" si="2"/>
        <v>0</v>
      </c>
      <c r="AI116" s="106">
        <f t="shared" si="2"/>
        <v>0</v>
      </c>
      <c r="AJ116" s="108">
        <f t="shared" si="2"/>
        <v>0</v>
      </c>
      <c r="AK116" s="106">
        <f t="shared" si="2"/>
        <v>-5486.9068051513486</v>
      </c>
    </row>
    <row r="117" spans="1:37" ht="14.5">
      <c r="A117" s="152" t="s">
        <v>170</v>
      </c>
      <c r="B117" s="157"/>
      <c r="C117" s="172">
        <v>4580</v>
      </c>
      <c r="D117" s="152"/>
      <c r="E117" s="172">
        <v>400</v>
      </c>
      <c r="F117" s="152"/>
      <c r="G117" s="153"/>
      <c r="H117" s="112"/>
      <c r="I117" s="160">
        <v>4980</v>
      </c>
      <c r="J117" s="152"/>
      <c r="K117" s="160">
        <v>4980</v>
      </c>
      <c r="L117" s="152"/>
      <c r="M117" s="160"/>
      <c r="N117" s="160"/>
      <c r="O117" s="160">
        <v>400</v>
      </c>
      <c r="P117" s="160"/>
      <c r="Q117" s="160">
        <v>0</v>
      </c>
      <c r="R117" s="152"/>
      <c r="S117" s="152"/>
      <c r="T117" s="152"/>
      <c r="U117" s="159" t="s">
        <v>171</v>
      </c>
      <c r="V117" s="152"/>
      <c r="W117" s="152"/>
      <c r="X117" s="160">
        <v>335.5172</v>
      </c>
      <c r="Y117" s="159" t="s">
        <v>172</v>
      </c>
      <c r="AA117" s="101" t="s">
        <v>170</v>
      </c>
      <c r="AB117" s="115"/>
      <c r="AC117" s="108">
        <f t="shared" si="2"/>
        <v>4580</v>
      </c>
      <c r="AD117" s="106">
        <f t="shared" si="2"/>
        <v>0</v>
      </c>
      <c r="AE117" s="108">
        <f t="shared" si="2"/>
        <v>400</v>
      </c>
      <c r="AF117" s="106">
        <f t="shared" si="2"/>
        <v>0</v>
      </c>
      <c r="AG117" s="106">
        <f t="shared" si="2"/>
        <v>0</v>
      </c>
      <c r="AH117" s="112">
        <f t="shared" si="2"/>
        <v>0</v>
      </c>
      <c r="AI117" s="106">
        <f t="shared" si="2"/>
        <v>4980</v>
      </c>
      <c r="AJ117" s="108">
        <f t="shared" si="2"/>
        <v>0</v>
      </c>
      <c r="AK117" s="106">
        <f t="shared" si="2"/>
        <v>3806.8550469493011</v>
      </c>
    </row>
    <row r="118" spans="1:37" ht="14.5">
      <c r="A118" s="152" t="s">
        <v>173</v>
      </c>
      <c r="B118" s="157"/>
      <c r="C118" s="172">
        <v>9690</v>
      </c>
      <c r="D118" s="152"/>
      <c r="E118" s="172">
        <v>773</v>
      </c>
      <c r="F118" s="152"/>
      <c r="G118" s="153"/>
      <c r="H118" s="153"/>
      <c r="I118" s="160">
        <v>10463</v>
      </c>
      <c r="J118" s="172"/>
      <c r="K118" s="160">
        <v>10463</v>
      </c>
      <c r="L118" s="152"/>
      <c r="M118" s="160"/>
      <c r="N118" s="160"/>
      <c r="O118" s="160">
        <v>773</v>
      </c>
      <c r="P118" s="160"/>
      <c r="Q118" s="160">
        <v>0</v>
      </c>
      <c r="R118" s="152"/>
      <c r="S118" s="152"/>
      <c r="T118" s="152"/>
      <c r="U118" s="159" t="s">
        <v>174</v>
      </c>
      <c r="V118" s="152"/>
      <c r="W118" s="152"/>
      <c r="X118" s="198">
        <v>500.93560000000002</v>
      </c>
      <c r="Y118" s="159" t="s">
        <v>175</v>
      </c>
      <c r="AA118" s="101" t="s">
        <v>173</v>
      </c>
      <c r="AB118" s="115"/>
      <c r="AC118" s="108">
        <f t="shared" si="2"/>
        <v>9690</v>
      </c>
      <c r="AD118" s="106">
        <f t="shared" si="2"/>
        <v>0</v>
      </c>
      <c r="AE118" s="108">
        <f t="shared" si="2"/>
        <v>773</v>
      </c>
      <c r="AF118" s="106">
        <f t="shared" si="2"/>
        <v>0</v>
      </c>
      <c r="AG118" s="106">
        <f t="shared" si="2"/>
        <v>0</v>
      </c>
      <c r="AH118" s="106">
        <f t="shared" si="2"/>
        <v>0</v>
      </c>
      <c r="AI118" s="106">
        <f t="shared" si="2"/>
        <v>10463</v>
      </c>
      <c r="AJ118" s="108">
        <f t="shared" si="2"/>
        <v>0</v>
      </c>
      <c r="AK118" s="106">
        <f t="shared" si="2"/>
        <v>10463</v>
      </c>
    </row>
    <row r="119" spans="1:37" ht="14.5">
      <c r="A119" s="152" t="s">
        <v>176</v>
      </c>
      <c r="B119" s="157"/>
      <c r="C119" s="172">
        <v>737</v>
      </c>
      <c r="D119" s="152"/>
      <c r="E119" s="172"/>
      <c r="F119" s="152"/>
      <c r="G119" s="153"/>
      <c r="H119" s="153"/>
      <c r="I119" s="160">
        <v>737</v>
      </c>
      <c r="J119" s="152"/>
      <c r="K119" s="160">
        <v>737</v>
      </c>
      <c r="L119" s="152"/>
      <c r="M119" s="160"/>
      <c r="N119" s="160"/>
      <c r="O119" s="160">
        <v>0</v>
      </c>
      <c r="P119" s="160"/>
      <c r="Q119" s="160">
        <v>0</v>
      </c>
      <c r="R119" s="152"/>
      <c r="S119" s="152"/>
      <c r="T119" s="152"/>
      <c r="U119" s="159" t="s">
        <v>177</v>
      </c>
      <c r="V119" s="152"/>
      <c r="W119" s="152"/>
      <c r="X119" s="160">
        <v>-165.41840000000002</v>
      </c>
      <c r="Y119" s="159" t="s">
        <v>175</v>
      </c>
      <c r="AA119" s="101" t="s">
        <v>176</v>
      </c>
      <c r="AB119" s="115"/>
      <c r="AC119" s="108">
        <f t="shared" si="2"/>
        <v>737</v>
      </c>
      <c r="AD119" s="106">
        <f t="shared" si="2"/>
        <v>0</v>
      </c>
      <c r="AE119" s="108">
        <f t="shared" si="2"/>
        <v>0</v>
      </c>
      <c r="AF119" s="106">
        <f t="shared" si="2"/>
        <v>0</v>
      </c>
      <c r="AG119" s="106">
        <f t="shared" si="2"/>
        <v>0</v>
      </c>
      <c r="AH119" s="106">
        <f t="shared" si="2"/>
        <v>0</v>
      </c>
      <c r="AI119" s="106">
        <f t="shared" si="2"/>
        <v>737</v>
      </c>
      <c r="AJ119" s="108">
        <f t="shared" si="2"/>
        <v>0</v>
      </c>
      <c r="AK119" s="106">
        <f t="shared" si="2"/>
        <v>-9520.2791851251895</v>
      </c>
    </row>
    <row r="120" spans="1:37" ht="14.5">
      <c r="A120" s="152" t="s">
        <v>178</v>
      </c>
      <c r="B120" s="157"/>
      <c r="C120" s="174">
        <v>7142</v>
      </c>
      <c r="D120" s="162"/>
      <c r="E120" s="174">
        <v>754</v>
      </c>
      <c r="F120" s="162"/>
      <c r="G120" s="154"/>
      <c r="H120" s="154"/>
      <c r="I120" s="161">
        <v>7896</v>
      </c>
      <c r="J120" s="162"/>
      <c r="K120" s="161">
        <v>7896</v>
      </c>
      <c r="L120" s="152"/>
      <c r="M120" s="160"/>
      <c r="N120" s="160"/>
      <c r="O120" s="161">
        <v>754</v>
      </c>
      <c r="P120" s="160"/>
      <c r="Q120" s="161">
        <v>0</v>
      </c>
      <c r="R120" s="152"/>
      <c r="S120" s="152"/>
      <c r="T120" s="152"/>
      <c r="U120" s="152"/>
      <c r="V120" s="152"/>
      <c r="W120" s="152"/>
      <c r="X120" s="152"/>
      <c r="Y120" s="152"/>
      <c r="AA120" s="101" t="s">
        <v>178</v>
      </c>
      <c r="AB120" s="115"/>
      <c r="AC120" s="110">
        <f t="shared" si="2"/>
        <v>7142</v>
      </c>
      <c r="AD120" s="111">
        <f t="shared" si="2"/>
        <v>0</v>
      </c>
      <c r="AE120" s="110">
        <f t="shared" si="2"/>
        <v>754</v>
      </c>
      <c r="AF120" s="111">
        <f t="shared" si="2"/>
        <v>0</v>
      </c>
      <c r="AG120" s="111">
        <f t="shared" si="2"/>
        <v>0</v>
      </c>
      <c r="AH120" s="111">
        <f t="shared" si="2"/>
        <v>0</v>
      </c>
      <c r="AI120" s="111">
        <f t="shared" si="2"/>
        <v>7896</v>
      </c>
      <c r="AJ120" s="110">
        <f t="shared" si="2"/>
        <v>0</v>
      </c>
      <c r="AK120" s="111">
        <f t="shared" si="2"/>
        <v>7895.4043176475052</v>
      </c>
    </row>
    <row r="121" spans="1:37" ht="14.5">
      <c r="A121" s="152"/>
      <c r="B121" s="157"/>
      <c r="C121" s="172">
        <v>22149</v>
      </c>
      <c r="D121" s="152"/>
      <c r="E121" s="172">
        <v>1927</v>
      </c>
      <c r="F121" s="153">
        <v>0</v>
      </c>
      <c r="G121" s="153">
        <v>0</v>
      </c>
      <c r="H121" s="153">
        <v>0</v>
      </c>
      <c r="I121" s="153">
        <v>24076</v>
      </c>
      <c r="J121" s="172">
        <v>0</v>
      </c>
      <c r="K121" s="153">
        <v>24076</v>
      </c>
      <c r="L121" s="152"/>
      <c r="M121" s="153"/>
      <c r="N121" s="153"/>
      <c r="O121" s="153">
        <v>1927</v>
      </c>
      <c r="P121" s="153"/>
      <c r="Q121" s="153">
        <v>0</v>
      </c>
      <c r="R121" s="152"/>
      <c r="S121" s="152"/>
      <c r="T121" s="152"/>
      <c r="U121" s="152"/>
      <c r="V121" s="152"/>
      <c r="W121" s="152"/>
      <c r="X121" s="152"/>
      <c r="Y121" s="152"/>
      <c r="AB121" s="115"/>
      <c r="AC121" s="108">
        <f t="shared" si="2"/>
        <v>22149</v>
      </c>
      <c r="AD121" s="106">
        <f t="shared" si="2"/>
        <v>0</v>
      </c>
      <c r="AE121" s="108">
        <f t="shared" si="2"/>
        <v>1927</v>
      </c>
      <c r="AF121" s="106">
        <f t="shared" si="2"/>
        <v>0</v>
      </c>
      <c r="AG121" s="106">
        <f t="shared" si="2"/>
        <v>0</v>
      </c>
      <c r="AH121" s="106">
        <f t="shared" si="2"/>
        <v>0</v>
      </c>
      <c r="AI121" s="106">
        <f t="shared" si="2"/>
        <v>24076</v>
      </c>
      <c r="AJ121" s="108">
        <f t="shared" si="2"/>
        <v>0</v>
      </c>
      <c r="AK121" s="117">
        <f t="shared" si="2"/>
        <v>24076</v>
      </c>
    </row>
    <row r="122" spans="1:37" ht="14.5">
      <c r="A122" s="152" t="s">
        <v>179</v>
      </c>
      <c r="B122" s="157"/>
      <c r="C122" s="183"/>
      <c r="D122" s="152"/>
      <c r="E122" s="172"/>
      <c r="F122" s="152"/>
      <c r="G122" s="153"/>
      <c r="H122" s="153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AA122" s="101" t="s">
        <v>179</v>
      </c>
      <c r="AB122" s="115"/>
      <c r="AC122" s="118">
        <f t="shared" si="2"/>
        <v>0</v>
      </c>
      <c r="AD122" s="106">
        <f t="shared" si="2"/>
        <v>0</v>
      </c>
      <c r="AE122" s="108">
        <f t="shared" si="2"/>
        <v>0</v>
      </c>
      <c r="AF122" s="106">
        <f t="shared" si="2"/>
        <v>0</v>
      </c>
      <c r="AG122" s="106">
        <f t="shared" si="2"/>
        <v>0</v>
      </c>
      <c r="AH122" s="106">
        <f t="shared" si="2"/>
        <v>0</v>
      </c>
      <c r="AI122" s="106">
        <f t="shared" si="2"/>
        <v>0</v>
      </c>
      <c r="AJ122" s="108">
        <f t="shared" si="2"/>
        <v>0</v>
      </c>
      <c r="AK122" s="106">
        <f t="shared" si="2"/>
        <v>-10552.775973267757</v>
      </c>
    </row>
    <row r="123" spans="1:37" ht="14.5">
      <c r="A123" s="152" t="s">
        <v>180</v>
      </c>
      <c r="B123" s="157"/>
      <c r="C123" s="172">
        <v>827</v>
      </c>
      <c r="D123" s="152"/>
      <c r="E123" s="172">
        <v>189</v>
      </c>
      <c r="F123" s="152">
        <v>135</v>
      </c>
      <c r="G123" s="153"/>
      <c r="H123" s="153"/>
      <c r="I123" s="160">
        <v>1151</v>
      </c>
      <c r="J123" s="152"/>
      <c r="K123" s="160">
        <v>1151</v>
      </c>
      <c r="L123" s="152"/>
      <c r="M123" s="160"/>
      <c r="N123" s="160"/>
      <c r="O123" s="160">
        <v>189</v>
      </c>
      <c r="P123" s="160"/>
      <c r="Q123" s="160">
        <v>135</v>
      </c>
      <c r="R123" s="152"/>
      <c r="S123" s="152"/>
      <c r="T123" s="152"/>
      <c r="U123" s="152"/>
      <c r="V123" s="152"/>
      <c r="W123" s="152"/>
      <c r="X123" s="152"/>
      <c r="Y123" s="152"/>
      <c r="AA123" s="101" t="s">
        <v>180</v>
      </c>
      <c r="AB123" s="115"/>
      <c r="AC123" s="108">
        <f t="shared" si="2"/>
        <v>827</v>
      </c>
      <c r="AD123" s="106">
        <f t="shared" si="2"/>
        <v>0</v>
      </c>
      <c r="AE123" s="108">
        <f t="shared" si="2"/>
        <v>189</v>
      </c>
      <c r="AF123" s="108">
        <f t="shared" si="2"/>
        <v>135</v>
      </c>
      <c r="AG123" s="106">
        <f t="shared" si="2"/>
        <v>0</v>
      </c>
      <c r="AH123" s="106">
        <f t="shared" si="2"/>
        <v>0</v>
      </c>
      <c r="AI123" s="106">
        <f t="shared" si="2"/>
        <v>1151</v>
      </c>
      <c r="AJ123" s="108">
        <f t="shared" si="2"/>
        <v>0</v>
      </c>
      <c r="AK123" s="117">
        <f t="shared" si="2"/>
        <v>-4557.2018461197977</v>
      </c>
    </row>
    <row r="124" spans="1:37" ht="14.5">
      <c r="A124" s="152" t="s">
        <v>181</v>
      </c>
      <c r="B124" s="157"/>
      <c r="C124" s="172">
        <v>6748</v>
      </c>
      <c r="D124" s="152"/>
      <c r="E124" s="172">
        <v>211</v>
      </c>
      <c r="F124" s="153">
        <v>100</v>
      </c>
      <c r="G124" s="153"/>
      <c r="H124" s="153"/>
      <c r="I124" s="160">
        <v>7059</v>
      </c>
      <c r="J124" s="152"/>
      <c r="K124" s="160">
        <v>7059</v>
      </c>
      <c r="L124" s="152"/>
      <c r="M124" s="160"/>
      <c r="N124" s="160"/>
      <c r="O124" s="160">
        <v>211</v>
      </c>
      <c r="P124" s="160"/>
      <c r="Q124" s="160">
        <v>100</v>
      </c>
      <c r="R124" s="152"/>
      <c r="S124" s="152"/>
      <c r="T124" s="152"/>
      <c r="U124" s="152"/>
      <c r="V124" s="152"/>
      <c r="W124" s="152"/>
      <c r="X124" s="152"/>
      <c r="Y124" s="152"/>
      <c r="AA124" s="101" t="s">
        <v>181</v>
      </c>
      <c r="AB124" s="115"/>
      <c r="AC124" s="108">
        <f t="shared" ref="AC124:AK139" si="3">C124-C177</f>
        <v>6748</v>
      </c>
      <c r="AD124" s="106">
        <f t="shared" si="3"/>
        <v>0</v>
      </c>
      <c r="AE124" s="108">
        <f t="shared" si="3"/>
        <v>211</v>
      </c>
      <c r="AF124" s="106">
        <f t="shared" si="3"/>
        <v>100</v>
      </c>
      <c r="AG124" s="106">
        <f t="shared" si="3"/>
        <v>0</v>
      </c>
      <c r="AH124" s="106">
        <f t="shared" si="3"/>
        <v>0</v>
      </c>
      <c r="AI124" s="106">
        <f t="shared" si="3"/>
        <v>7059</v>
      </c>
      <c r="AJ124" s="108">
        <f t="shared" si="3"/>
        <v>0</v>
      </c>
      <c r="AK124" s="106">
        <f t="shared" si="3"/>
        <v>2214.4258728520408</v>
      </c>
    </row>
    <row r="125" spans="1:37" ht="14.5">
      <c r="A125" s="152" t="s">
        <v>182</v>
      </c>
      <c r="B125" s="157"/>
      <c r="C125" s="172">
        <v>8866</v>
      </c>
      <c r="D125" s="152"/>
      <c r="E125" s="172">
        <v>4</v>
      </c>
      <c r="F125" s="153"/>
      <c r="G125" s="153"/>
      <c r="H125" s="153"/>
      <c r="I125" s="160">
        <v>8870</v>
      </c>
      <c r="J125" s="160"/>
      <c r="K125" s="160">
        <v>8870</v>
      </c>
      <c r="L125" s="152"/>
      <c r="M125" s="160"/>
      <c r="N125" s="153"/>
      <c r="O125" s="160">
        <v>4</v>
      </c>
      <c r="P125" s="160"/>
      <c r="Q125" s="160">
        <v>0</v>
      </c>
      <c r="R125" s="152"/>
      <c r="S125" s="152"/>
      <c r="T125" s="152"/>
      <c r="U125" s="152"/>
      <c r="V125" s="152"/>
      <c r="W125" s="152"/>
      <c r="X125" s="152"/>
      <c r="Y125" s="152"/>
      <c r="AA125" s="101" t="s">
        <v>182</v>
      </c>
      <c r="AB125" s="115"/>
      <c r="AC125" s="108">
        <f t="shared" si="3"/>
        <v>8866</v>
      </c>
      <c r="AD125" s="106">
        <f t="shared" si="3"/>
        <v>0</v>
      </c>
      <c r="AE125" s="108">
        <f t="shared" si="3"/>
        <v>4</v>
      </c>
      <c r="AF125" s="106">
        <f t="shared" si="3"/>
        <v>0</v>
      </c>
      <c r="AG125" s="106">
        <f t="shared" si="3"/>
        <v>0</v>
      </c>
      <c r="AH125" s="106">
        <f t="shared" si="3"/>
        <v>0</v>
      </c>
      <c r="AI125" s="106">
        <f t="shared" si="3"/>
        <v>8870</v>
      </c>
      <c r="AJ125" s="108">
        <f t="shared" si="3"/>
        <v>0</v>
      </c>
      <c r="AK125" s="117">
        <f t="shared" si="3"/>
        <v>6339.2422282276839</v>
      </c>
    </row>
    <row r="126" spans="1:37" ht="14.5">
      <c r="A126" s="152" t="s">
        <v>183</v>
      </c>
      <c r="B126" s="157"/>
      <c r="C126" s="174">
        <v>574</v>
      </c>
      <c r="D126" s="162"/>
      <c r="E126" s="174">
        <v>0</v>
      </c>
      <c r="F126" s="162"/>
      <c r="G126" s="154"/>
      <c r="H126" s="154"/>
      <c r="I126" s="161">
        <v>574</v>
      </c>
      <c r="J126" s="174"/>
      <c r="K126" s="161">
        <v>574</v>
      </c>
      <c r="L126" s="152"/>
      <c r="M126" s="160"/>
      <c r="N126" s="160"/>
      <c r="O126" s="161">
        <v>0</v>
      </c>
      <c r="P126" s="160"/>
      <c r="Q126" s="161">
        <v>0</v>
      </c>
      <c r="R126" s="152"/>
      <c r="S126" s="152"/>
      <c r="T126" s="191"/>
      <c r="U126" s="152"/>
      <c r="V126" s="152"/>
      <c r="W126" s="152"/>
      <c r="X126" s="152"/>
      <c r="Y126" s="152"/>
      <c r="AA126" s="101" t="s">
        <v>183</v>
      </c>
      <c r="AB126" s="115"/>
      <c r="AC126" s="110">
        <f t="shared" si="3"/>
        <v>574</v>
      </c>
      <c r="AD126" s="111">
        <f t="shared" si="3"/>
        <v>0</v>
      </c>
      <c r="AE126" s="110">
        <f t="shared" si="3"/>
        <v>0</v>
      </c>
      <c r="AF126" s="111">
        <f t="shared" si="3"/>
        <v>0</v>
      </c>
      <c r="AG126" s="111">
        <f t="shared" si="3"/>
        <v>0</v>
      </c>
      <c r="AH126" s="111">
        <f t="shared" si="3"/>
        <v>0</v>
      </c>
      <c r="AI126" s="111">
        <f t="shared" si="3"/>
        <v>574</v>
      </c>
      <c r="AJ126" s="110">
        <f t="shared" si="3"/>
        <v>0</v>
      </c>
      <c r="AK126" s="119">
        <f t="shared" si="3"/>
        <v>-1399.1285357426675</v>
      </c>
    </row>
    <row r="127" spans="1:37" ht="14.5">
      <c r="A127" s="152"/>
      <c r="B127" s="157"/>
      <c r="C127" s="172">
        <v>17015</v>
      </c>
      <c r="D127" s="153">
        <v>0</v>
      </c>
      <c r="E127" s="153">
        <v>404</v>
      </c>
      <c r="F127" s="153">
        <v>235</v>
      </c>
      <c r="G127" s="153">
        <v>0</v>
      </c>
      <c r="H127" s="153">
        <v>0</v>
      </c>
      <c r="I127" s="153">
        <v>17654</v>
      </c>
      <c r="J127" s="172">
        <v>0</v>
      </c>
      <c r="K127" s="153">
        <v>17654</v>
      </c>
      <c r="L127" s="152"/>
      <c r="M127" s="153"/>
      <c r="N127" s="153"/>
      <c r="O127" s="153">
        <v>404</v>
      </c>
      <c r="P127" s="153"/>
      <c r="Q127" s="153">
        <v>235</v>
      </c>
      <c r="R127" s="152"/>
      <c r="S127" s="152"/>
      <c r="T127" s="152"/>
      <c r="U127" s="152"/>
      <c r="V127" s="152"/>
      <c r="W127" s="152"/>
      <c r="X127" s="152"/>
      <c r="Y127" s="152"/>
      <c r="AB127" s="115"/>
      <c r="AC127" s="108">
        <f t="shared" si="3"/>
        <v>17015</v>
      </c>
      <c r="AD127" s="106">
        <f t="shared" si="3"/>
        <v>0</v>
      </c>
      <c r="AE127" s="106">
        <f t="shared" si="3"/>
        <v>404</v>
      </c>
      <c r="AF127" s="106">
        <f t="shared" si="3"/>
        <v>235</v>
      </c>
      <c r="AG127" s="106">
        <f t="shared" si="3"/>
        <v>0</v>
      </c>
      <c r="AH127" s="106">
        <f t="shared" si="3"/>
        <v>0</v>
      </c>
      <c r="AI127" s="106">
        <f t="shared" si="3"/>
        <v>17654</v>
      </c>
      <c r="AJ127" s="108">
        <f t="shared" si="3"/>
        <v>0</v>
      </c>
      <c r="AK127" s="106">
        <f t="shared" si="3"/>
        <v>17452.97853897035</v>
      </c>
    </row>
    <row r="128" spans="1:37" ht="14.5">
      <c r="A128" s="152"/>
      <c r="B128" s="157"/>
      <c r="C128" s="172"/>
      <c r="D128" s="152"/>
      <c r="E128" s="153"/>
      <c r="F128" s="152"/>
      <c r="G128" s="153"/>
      <c r="H128" s="153"/>
      <c r="I128" s="152"/>
      <c r="J128" s="152"/>
      <c r="K128" s="152"/>
      <c r="L128" s="152"/>
      <c r="M128" s="152"/>
      <c r="N128" s="160"/>
      <c r="O128" s="160">
        <v>0</v>
      </c>
      <c r="P128" s="160"/>
      <c r="Q128" s="160">
        <v>0</v>
      </c>
      <c r="R128" s="152"/>
      <c r="S128" s="152"/>
      <c r="T128" s="152"/>
      <c r="U128" s="152"/>
      <c r="V128" s="152"/>
      <c r="W128" s="152"/>
      <c r="X128" s="152"/>
      <c r="Y128" s="152"/>
      <c r="AB128" s="115"/>
      <c r="AC128" s="108">
        <f t="shared" si="3"/>
        <v>0</v>
      </c>
      <c r="AD128" s="106">
        <f t="shared" si="3"/>
        <v>0</v>
      </c>
      <c r="AE128" s="106">
        <f t="shared" si="3"/>
        <v>0</v>
      </c>
      <c r="AF128" s="106">
        <f t="shared" si="3"/>
        <v>0</v>
      </c>
      <c r="AG128" s="106">
        <f t="shared" si="3"/>
        <v>0</v>
      </c>
      <c r="AH128" s="106">
        <f t="shared" si="3"/>
        <v>0</v>
      </c>
      <c r="AI128" s="106">
        <f t="shared" si="3"/>
        <v>0</v>
      </c>
      <c r="AJ128" s="108">
        <f t="shared" si="3"/>
        <v>0</v>
      </c>
      <c r="AK128" s="106">
        <f t="shared" si="3"/>
        <v>-356.607775</v>
      </c>
    </row>
    <row r="129" spans="1:37" ht="14.5">
      <c r="A129" s="152" t="s">
        <v>184</v>
      </c>
      <c r="B129" s="120"/>
      <c r="C129" s="172">
        <v>-3569</v>
      </c>
      <c r="D129" s="152"/>
      <c r="E129" s="153">
        <v>17</v>
      </c>
      <c r="F129" s="152"/>
      <c r="G129" s="153"/>
      <c r="H129" s="153"/>
      <c r="I129" s="160">
        <v>-3552</v>
      </c>
      <c r="J129" s="152"/>
      <c r="K129" s="160">
        <v>-3552</v>
      </c>
      <c r="L129" s="152"/>
      <c r="M129" s="160"/>
      <c r="N129" s="160"/>
      <c r="O129" s="160">
        <v>17</v>
      </c>
      <c r="P129" s="160"/>
      <c r="Q129" s="160">
        <v>0</v>
      </c>
      <c r="R129" s="152"/>
      <c r="S129" s="152"/>
      <c r="T129" s="152"/>
      <c r="AA129" s="101" t="s">
        <v>184</v>
      </c>
      <c r="AB129" s="120"/>
      <c r="AC129" s="108">
        <f t="shared" si="3"/>
        <v>-3569</v>
      </c>
      <c r="AD129" s="106">
        <f t="shared" si="3"/>
        <v>0</v>
      </c>
      <c r="AE129" s="106">
        <f t="shared" si="3"/>
        <v>17</v>
      </c>
      <c r="AF129" s="106">
        <f t="shared" si="3"/>
        <v>0</v>
      </c>
      <c r="AG129" s="106">
        <f t="shared" si="3"/>
        <v>0</v>
      </c>
      <c r="AH129" s="106">
        <f t="shared" si="3"/>
        <v>0</v>
      </c>
      <c r="AI129" s="106">
        <f t="shared" si="3"/>
        <v>-3552</v>
      </c>
      <c r="AJ129" s="108">
        <f t="shared" si="3"/>
        <v>0</v>
      </c>
      <c r="AK129" s="106">
        <f t="shared" si="3"/>
        <v>-3333.6666666666665</v>
      </c>
    </row>
    <row r="130" spans="1:37" ht="14.5">
      <c r="A130" s="152" t="s">
        <v>185</v>
      </c>
      <c r="B130" s="157"/>
      <c r="C130" s="174">
        <v>1395</v>
      </c>
      <c r="D130" s="162"/>
      <c r="E130" s="174">
        <v>0</v>
      </c>
      <c r="F130" s="154"/>
      <c r="G130" s="154"/>
      <c r="H130" s="154"/>
      <c r="I130" s="161">
        <v>1395</v>
      </c>
      <c r="J130" s="162"/>
      <c r="K130" s="161">
        <v>1395</v>
      </c>
      <c r="L130" s="152"/>
      <c r="M130" s="160"/>
      <c r="N130" s="160"/>
      <c r="O130" s="161">
        <v>0</v>
      </c>
      <c r="P130" s="160"/>
      <c r="Q130" s="161">
        <v>0</v>
      </c>
      <c r="R130" s="152"/>
      <c r="S130" s="152"/>
      <c r="T130" s="152"/>
      <c r="AA130" s="101" t="s">
        <v>185</v>
      </c>
      <c r="AB130" s="115"/>
      <c r="AC130" s="110">
        <f t="shared" si="3"/>
        <v>1395</v>
      </c>
      <c r="AD130" s="111">
        <f t="shared" si="3"/>
        <v>0</v>
      </c>
      <c r="AE130" s="110">
        <f t="shared" si="3"/>
        <v>0</v>
      </c>
      <c r="AF130" s="111">
        <f t="shared" si="3"/>
        <v>0</v>
      </c>
      <c r="AG130" s="111">
        <f t="shared" si="3"/>
        <v>0</v>
      </c>
      <c r="AH130" s="111">
        <f t="shared" si="3"/>
        <v>0</v>
      </c>
      <c r="AI130" s="111">
        <f t="shared" si="3"/>
        <v>1395</v>
      </c>
      <c r="AJ130" s="111">
        <f t="shared" si="3"/>
        <v>0</v>
      </c>
      <c r="AK130" s="119">
        <f t="shared" si="3"/>
        <v>1355</v>
      </c>
    </row>
    <row r="131" spans="1:37" ht="14.5">
      <c r="A131" s="152"/>
      <c r="B131" s="157"/>
      <c r="C131" s="172"/>
      <c r="D131" s="152"/>
      <c r="E131" s="153"/>
      <c r="F131" s="152"/>
      <c r="G131" s="153"/>
      <c r="H131" s="153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AB131" s="115"/>
      <c r="AC131" s="108">
        <f t="shared" si="3"/>
        <v>0</v>
      </c>
      <c r="AD131" s="106">
        <f t="shared" si="3"/>
        <v>0</v>
      </c>
      <c r="AE131" s="106">
        <f t="shared" si="3"/>
        <v>0</v>
      </c>
      <c r="AF131" s="106">
        <f t="shared" si="3"/>
        <v>0</v>
      </c>
      <c r="AG131" s="106">
        <f t="shared" si="3"/>
        <v>0</v>
      </c>
      <c r="AH131" s="106">
        <f t="shared" si="3"/>
        <v>0</v>
      </c>
      <c r="AI131" s="106">
        <f t="shared" si="3"/>
        <v>0</v>
      </c>
      <c r="AJ131" s="106">
        <f t="shared" si="3"/>
        <v>0</v>
      </c>
      <c r="AK131" s="106">
        <f t="shared" si="3"/>
        <v>-250</v>
      </c>
    </row>
    <row r="132" spans="1:37" ht="14.5">
      <c r="A132" s="152" t="s">
        <v>186</v>
      </c>
      <c r="B132" s="157"/>
      <c r="C132" s="153">
        <v>-1245</v>
      </c>
      <c r="D132" s="153">
        <v>0</v>
      </c>
      <c r="E132" s="153">
        <v>-1907</v>
      </c>
      <c r="F132" s="153">
        <v>-5403</v>
      </c>
      <c r="G132" s="153">
        <v>0</v>
      </c>
      <c r="H132" s="153">
        <v>0</v>
      </c>
      <c r="I132" s="153">
        <v>-8555</v>
      </c>
      <c r="J132" s="153">
        <v>-5024</v>
      </c>
      <c r="K132" s="153">
        <v>-3531</v>
      </c>
      <c r="L132" s="152"/>
      <c r="M132" s="153"/>
      <c r="N132" s="153"/>
      <c r="O132" s="153">
        <v>-2312</v>
      </c>
      <c r="P132" s="153"/>
      <c r="Q132" s="153">
        <v>-5403</v>
      </c>
      <c r="R132" s="152"/>
      <c r="S132" s="152"/>
      <c r="T132" s="152"/>
      <c r="AA132" s="101" t="s">
        <v>186</v>
      </c>
      <c r="AB132" s="115"/>
      <c r="AC132" s="106">
        <f t="shared" si="3"/>
        <v>-1245</v>
      </c>
      <c r="AD132" s="106">
        <f t="shared" si="3"/>
        <v>0</v>
      </c>
      <c r="AE132" s="106">
        <f t="shared" si="3"/>
        <v>-1907</v>
      </c>
      <c r="AF132" s="106">
        <f t="shared" si="3"/>
        <v>-5403</v>
      </c>
      <c r="AG132" s="106">
        <f t="shared" si="3"/>
        <v>0</v>
      </c>
      <c r="AH132" s="106">
        <f t="shared" si="3"/>
        <v>0</v>
      </c>
      <c r="AI132" s="106">
        <f t="shared" si="3"/>
        <v>-8555</v>
      </c>
      <c r="AJ132" s="106">
        <f t="shared" si="3"/>
        <v>-5024</v>
      </c>
      <c r="AK132" s="106">
        <f t="shared" si="3"/>
        <v>-3522.6666666666665</v>
      </c>
    </row>
    <row r="133" spans="1:37" ht="14.5">
      <c r="A133" s="152"/>
      <c r="B133" s="157"/>
      <c r="C133" s="153"/>
      <c r="D133" s="152"/>
      <c r="E133" s="153"/>
      <c r="F133" s="152"/>
      <c r="G133" s="153"/>
      <c r="H133" s="153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AB133" s="115"/>
      <c r="AC133" s="106">
        <f t="shared" si="3"/>
        <v>0</v>
      </c>
      <c r="AD133" s="106">
        <f t="shared" si="3"/>
        <v>0</v>
      </c>
      <c r="AE133" s="106">
        <f t="shared" si="3"/>
        <v>0</v>
      </c>
      <c r="AF133" s="106">
        <f t="shared" si="3"/>
        <v>0</v>
      </c>
      <c r="AG133" s="106">
        <f t="shared" si="3"/>
        <v>0</v>
      </c>
      <c r="AH133" s="106">
        <f t="shared" si="3"/>
        <v>0</v>
      </c>
      <c r="AI133" s="106">
        <f t="shared" si="3"/>
        <v>0</v>
      </c>
      <c r="AJ133" s="106">
        <f t="shared" si="3"/>
        <v>0</v>
      </c>
      <c r="AK133" s="106">
        <f t="shared" si="3"/>
        <v>0</v>
      </c>
    </row>
    <row r="134" spans="1:37" ht="14.5">
      <c r="A134" s="152" t="s">
        <v>187</v>
      </c>
      <c r="B134" s="157"/>
      <c r="C134" s="183">
        <v>175</v>
      </c>
      <c r="D134" s="152"/>
      <c r="E134" s="153">
        <v>0</v>
      </c>
      <c r="F134" s="152"/>
      <c r="G134" s="153"/>
      <c r="H134" s="153"/>
      <c r="I134" s="160">
        <v>175</v>
      </c>
      <c r="J134" s="152"/>
      <c r="K134" s="160">
        <v>175</v>
      </c>
      <c r="L134" s="152"/>
      <c r="M134" s="160"/>
      <c r="N134" s="160"/>
      <c r="O134" s="160"/>
      <c r="P134" s="160"/>
      <c r="Q134" s="160">
        <v>0</v>
      </c>
      <c r="R134" s="152"/>
      <c r="S134" s="152"/>
      <c r="T134" s="160"/>
      <c r="AA134" s="101" t="s">
        <v>187</v>
      </c>
      <c r="AB134" s="115"/>
      <c r="AC134" s="118">
        <f t="shared" si="3"/>
        <v>175</v>
      </c>
      <c r="AD134" s="106">
        <f t="shared" si="3"/>
        <v>0</v>
      </c>
      <c r="AE134" s="106">
        <f t="shared" si="3"/>
        <v>0</v>
      </c>
      <c r="AF134" s="106">
        <f t="shared" si="3"/>
        <v>0</v>
      </c>
      <c r="AG134" s="106">
        <f t="shared" si="3"/>
        <v>0</v>
      </c>
      <c r="AH134" s="106">
        <f t="shared" si="3"/>
        <v>0</v>
      </c>
      <c r="AI134" s="106">
        <f t="shared" si="3"/>
        <v>175</v>
      </c>
      <c r="AJ134" s="106">
        <f t="shared" si="3"/>
        <v>0</v>
      </c>
      <c r="AK134" s="106">
        <f t="shared" si="3"/>
        <v>1842.3769621482606</v>
      </c>
    </row>
    <row r="135" spans="1:37" ht="14.5">
      <c r="A135" s="152"/>
      <c r="B135" s="157"/>
      <c r="C135" s="154"/>
      <c r="D135" s="162"/>
      <c r="E135" s="154"/>
      <c r="F135" s="162"/>
      <c r="G135" s="154"/>
      <c r="H135" s="154"/>
      <c r="I135" s="162"/>
      <c r="J135" s="162"/>
      <c r="K135" s="162"/>
      <c r="L135" s="152"/>
      <c r="M135" s="152"/>
      <c r="N135" s="152"/>
      <c r="O135" s="162"/>
      <c r="P135" s="152"/>
      <c r="Q135" s="162"/>
      <c r="R135" s="152"/>
      <c r="S135" s="152"/>
      <c r="T135" s="152"/>
      <c r="AB135" s="115"/>
      <c r="AC135" s="111">
        <f t="shared" si="3"/>
        <v>0</v>
      </c>
      <c r="AD135" s="111">
        <f t="shared" si="3"/>
        <v>0</v>
      </c>
      <c r="AE135" s="111">
        <f t="shared" si="3"/>
        <v>0</v>
      </c>
      <c r="AF135" s="111">
        <f t="shared" si="3"/>
        <v>0</v>
      </c>
      <c r="AG135" s="111">
        <f t="shared" si="3"/>
        <v>0</v>
      </c>
      <c r="AH135" s="111">
        <f t="shared" si="3"/>
        <v>0</v>
      </c>
      <c r="AI135" s="111">
        <f t="shared" si="3"/>
        <v>0</v>
      </c>
      <c r="AJ135" s="111">
        <f t="shared" si="3"/>
        <v>0</v>
      </c>
      <c r="AK135" s="111">
        <f t="shared" si="3"/>
        <v>-140.84719683872652</v>
      </c>
    </row>
    <row r="136" spans="1:37" ht="14.5">
      <c r="A136" s="152" t="s">
        <v>188</v>
      </c>
      <c r="B136" s="157"/>
      <c r="C136" s="153">
        <v>-1070</v>
      </c>
      <c r="D136" s="153">
        <v>0</v>
      </c>
      <c r="E136" s="153">
        <v>-1907</v>
      </c>
      <c r="F136" s="153">
        <v>-5403</v>
      </c>
      <c r="G136" s="153">
        <v>0</v>
      </c>
      <c r="H136" s="153">
        <v>0</v>
      </c>
      <c r="I136" s="153">
        <v>-8380</v>
      </c>
      <c r="J136" s="153">
        <v>-5024</v>
      </c>
      <c r="K136" s="153">
        <v>-3356</v>
      </c>
      <c r="L136" s="152"/>
      <c r="M136" s="153"/>
      <c r="N136" s="153"/>
      <c r="O136" s="153">
        <v>-2312</v>
      </c>
      <c r="P136" s="153"/>
      <c r="Q136" s="153">
        <v>-5403</v>
      </c>
      <c r="R136" s="152"/>
      <c r="S136" s="152"/>
      <c r="T136" s="152"/>
      <c r="AA136" s="101" t="s">
        <v>188</v>
      </c>
      <c r="AB136" s="115"/>
      <c r="AC136" s="106">
        <f t="shared" si="3"/>
        <v>-1070</v>
      </c>
      <c r="AD136" s="106">
        <f t="shared" si="3"/>
        <v>0</v>
      </c>
      <c r="AE136" s="106">
        <f t="shared" si="3"/>
        <v>-1907</v>
      </c>
      <c r="AF136" s="106">
        <f t="shared" si="3"/>
        <v>-5403</v>
      </c>
      <c r="AG136" s="106">
        <f t="shared" si="3"/>
        <v>0</v>
      </c>
      <c r="AH136" s="106">
        <f t="shared" si="3"/>
        <v>0</v>
      </c>
      <c r="AI136" s="106">
        <f t="shared" si="3"/>
        <v>-8380</v>
      </c>
      <c r="AJ136" s="106">
        <f t="shared" si="3"/>
        <v>-5024</v>
      </c>
      <c r="AK136" s="106">
        <f t="shared" si="3"/>
        <v>-2689.2710906615084</v>
      </c>
    </row>
    <row r="137" spans="1:37" ht="14.5">
      <c r="A137" s="152"/>
      <c r="B137" s="157"/>
      <c r="C137" s="153"/>
      <c r="D137" s="152"/>
      <c r="E137" s="153"/>
      <c r="F137" s="152"/>
      <c r="G137" s="153"/>
      <c r="H137" s="153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AB137" s="115"/>
      <c r="AC137" s="106">
        <f t="shared" si="3"/>
        <v>0</v>
      </c>
      <c r="AD137" s="106">
        <f t="shared" si="3"/>
        <v>0</v>
      </c>
      <c r="AE137" s="106">
        <f t="shared" si="3"/>
        <v>0</v>
      </c>
      <c r="AF137" s="106">
        <f t="shared" si="3"/>
        <v>0</v>
      </c>
      <c r="AG137" s="106">
        <f t="shared" si="3"/>
        <v>0</v>
      </c>
      <c r="AH137" s="106">
        <f t="shared" si="3"/>
        <v>0</v>
      </c>
      <c r="AI137" s="106">
        <f t="shared" si="3"/>
        <v>0</v>
      </c>
      <c r="AJ137" s="106">
        <f t="shared" si="3"/>
        <v>0</v>
      </c>
      <c r="AK137" s="106">
        <f t="shared" si="3"/>
        <v>1141.4952496484957</v>
      </c>
    </row>
    <row r="138" spans="1:37" ht="14.5">
      <c r="A138" s="152" t="s">
        <v>189</v>
      </c>
      <c r="B138" s="157"/>
      <c r="C138" s="183">
        <v>442</v>
      </c>
      <c r="D138" s="152"/>
      <c r="E138" s="153"/>
      <c r="F138" s="152"/>
      <c r="G138" s="153"/>
      <c r="H138" s="153"/>
      <c r="I138" s="160">
        <v>442</v>
      </c>
      <c r="J138" s="152"/>
      <c r="K138" s="160">
        <v>442</v>
      </c>
      <c r="L138" s="152"/>
      <c r="M138" s="160"/>
      <c r="N138" s="160"/>
      <c r="O138" s="160">
        <v>0</v>
      </c>
      <c r="P138" s="160"/>
      <c r="Q138" s="160">
        <v>0</v>
      </c>
      <c r="R138" s="152"/>
      <c r="S138" s="152"/>
      <c r="T138" s="183">
        <v>502</v>
      </c>
      <c r="AA138" s="101" t="s">
        <v>189</v>
      </c>
      <c r="AB138" s="115"/>
      <c r="AC138" s="118">
        <f t="shared" si="3"/>
        <v>442</v>
      </c>
      <c r="AD138" s="106">
        <f t="shared" si="3"/>
        <v>0</v>
      </c>
      <c r="AE138" s="106">
        <f t="shared" si="3"/>
        <v>0</v>
      </c>
      <c r="AF138" s="106">
        <f t="shared" si="3"/>
        <v>0</v>
      </c>
      <c r="AG138" s="106">
        <f t="shared" si="3"/>
        <v>0</v>
      </c>
      <c r="AH138" s="106">
        <f t="shared" si="3"/>
        <v>0</v>
      </c>
      <c r="AI138" s="106">
        <f t="shared" si="3"/>
        <v>442</v>
      </c>
      <c r="AJ138" s="106">
        <f t="shared" si="3"/>
        <v>0</v>
      </c>
      <c r="AK138" s="106">
        <f t="shared" si="3"/>
        <v>1238.9731712558578</v>
      </c>
    </row>
    <row r="139" spans="1:37" ht="14.5">
      <c r="A139" s="152" t="s">
        <v>190</v>
      </c>
      <c r="B139" s="157"/>
      <c r="C139" s="183">
        <v>1607</v>
      </c>
      <c r="D139" s="152"/>
      <c r="E139" s="153"/>
      <c r="F139" s="152"/>
      <c r="G139" s="153"/>
      <c r="H139" s="153"/>
      <c r="I139" s="160">
        <v>1607</v>
      </c>
      <c r="J139" s="152"/>
      <c r="K139" s="160">
        <v>1607</v>
      </c>
      <c r="L139" s="152"/>
      <c r="M139" s="160"/>
      <c r="N139" s="160"/>
      <c r="O139" s="160">
        <v>0</v>
      </c>
      <c r="P139" s="160"/>
      <c r="Q139" s="160">
        <v>0</v>
      </c>
      <c r="R139" s="152"/>
      <c r="S139" s="152"/>
      <c r="T139" s="183">
        <v>1769</v>
      </c>
      <c r="AA139" s="101" t="s">
        <v>190</v>
      </c>
      <c r="AB139" s="115"/>
      <c r="AC139" s="118">
        <f t="shared" si="3"/>
        <v>1607</v>
      </c>
      <c r="AD139" s="106">
        <f t="shared" si="3"/>
        <v>0</v>
      </c>
      <c r="AE139" s="106">
        <f t="shared" si="3"/>
        <v>0</v>
      </c>
      <c r="AF139" s="106">
        <f t="shared" si="3"/>
        <v>0</v>
      </c>
      <c r="AG139" s="106">
        <f t="shared" si="3"/>
        <v>0</v>
      </c>
      <c r="AH139" s="106">
        <f t="shared" si="3"/>
        <v>0</v>
      </c>
      <c r="AI139" s="106">
        <f t="shared" si="3"/>
        <v>1607</v>
      </c>
      <c r="AJ139" s="106">
        <f t="shared" si="3"/>
        <v>0</v>
      </c>
      <c r="AK139" s="106">
        <f t="shared" si="3"/>
        <v>3955.0360527856596</v>
      </c>
    </row>
    <row r="140" spans="1:37" ht="14.5">
      <c r="A140" s="159" t="s">
        <v>191</v>
      </c>
      <c r="B140" s="157"/>
      <c r="C140" s="112">
        <v>-615</v>
      </c>
      <c r="D140" s="152"/>
      <c r="E140" s="153"/>
      <c r="F140" s="152"/>
      <c r="G140" s="153"/>
      <c r="H140" s="153"/>
      <c r="I140" s="160">
        <v>-615</v>
      </c>
      <c r="J140" s="160">
        <v>0</v>
      </c>
      <c r="K140" s="160">
        <v>-615</v>
      </c>
      <c r="L140" s="152"/>
      <c r="M140" s="160"/>
      <c r="N140" s="160"/>
      <c r="O140" s="160">
        <v>0</v>
      </c>
      <c r="P140" s="160"/>
      <c r="Q140" s="160">
        <v>0</v>
      </c>
      <c r="R140" s="152"/>
      <c r="S140" s="152"/>
      <c r="T140" s="152"/>
      <c r="AA140" s="109" t="s">
        <v>191</v>
      </c>
      <c r="AB140" s="115"/>
      <c r="AC140" s="112">
        <f t="shared" ref="AC140:AK145" si="4">C140-C193</f>
        <v>-615</v>
      </c>
      <c r="AD140" s="106">
        <f t="shared" si="4"/>
        <v>0</v>
      </c>
      <c r="AE140" s="106">
        <f t="shared" si="4"/>
        <v>0</v>
      </c>
      <c r="AF140" s="106">
        <f t="shared" si="4"/>
        <v>0</v>
      </c>
      <c r="AG140" s="106">
        <f t="shared" si="4"/>
        <v>0</v>
      </c>
      <c r="AH140" s="106">
        <f t="shared" si="4"/>
        <v>0</v>
      </c>
      <c r="AI140" s="106">
        <f t="shared" si="4"/>
        <v>-615</v>
      </c>
      <c r="AJ140" s="106">
        <f t="shared" si="4"/>
        <v>0</v>
      </c>
      <c r="AK140" s="106">
        <f t="shared" si="4"/>
        <v>-1307.3999532733528</v>
      </c>
    </row>
    <row r="141" spans="1:37" ht="14.5">
      <c r="A141" s="152" t="s">
        <v>192</v>
      </c>
      <c r="B141" s="157"/>
      <c r="C141" s="183">
        <v>640</v>
      </c>
      <c r="D141" s="152"/>
      <c r="E141" s="153">
        <v>-12</v>
      </c>
      <c r="F141" s="152"/>
      <c r="G141" s="153"/>
      <c r="H141" s="153"/>
      <c r="I141" s="160">
        <v>628</v>
      </c>
      <c r="J141" s="152"/>
      <c r="K141" s="160">
        <v>628</v>
      </c>
      <c r="L141" s="152"/>
      <c r="M141" s="160"/>
      <c r="N141" s="160"/>
      <c r="O141" s="160">
        <v>-12</v>
      </c>
      <c r="P141" s="160"/>
      <c r="Q141" s="160">
        <v>0</v>
      </c>
      <c r="R141" s="152"/>
      <c r="S141" s="152"/>
      <c r="T141" s="152"/>
      <c r="AA141" s="101" t="s">
        <v>192</v>
      </c>
      <c r="AB141" s="115"/>
      <c r="AC141" s="118">
        <f t="shared" si="4"/>
        <v>640</v>
      </c>
      <c r="AD141" s="106">
        <f t="shared" si="4"/>
        <v>0</v>
      </c>
      <c r="AE141" s="106">
        <f t="shared" si="4"/>
        <v>-12</v>
      </c>
      <c r="AF141" s="106">
        <f t="shared" si="4"/>
        <v>0</v>
      </c>
      <c r="AG141" s="106">
        <f t="shared" si="4"/>
        <v>0</v>
      </c>
      <c r="AH141" s="106">
        <f t="shared" si="4"/>
        <v>0</v>
      </c>
      <c r="AI141" s="106">
        <f t="shared" si="4"/>
        <v>628</v>
      </c>
      <c r="AJ141" s="106">
        <f t="shared" si="4"/>
        <v>0</v>
      </c>
      <c r="AK141" s="106">
        <f t="shared" si="4"/>
        <v>-447.39833966820834</v>
      </c>
    </row>
    <row r="142" spans="1:37" ht="14.5">
      <c r="A142" s="152" t="s">
        <v>193</v>
      </c>
      <c r="B142" s="157"/>
      <c r="C142" s="153"/>
      <c r="D142" s="152"/>
      <c r="E142" s="153"/>
      <c r="F142" s="152"/>
      <c r="G142" s="153"/>
      <c r="H142" s="153"/>
      <c r="I142" s="160">
        <v>0</v>
      </c>
      <c r="J142" s="153">
        <v>-15</v>
      </c>
      <c r="K142" s="160">
        <v>-15</v>
      </c>
      <c r="L142" s="152"/>
      <c r="M142" s="160"/>
      <c r="N142" s="160"/>
      <c r="O142" s="160">
        <v>0</v>
      </c>
      <c r="P142" s="160"/>
      <c r="Q142" s="160">
        <v>0</v>
      </c>
      <c r="R142" s="152"/>
      <c r="S142" s="152"/>
      <c r="T142" s="152"/>
      <c r="AA142" s="101" t="s">
        <v>193</v>
      </c>
      <c r="AB142" s="115"/>
      <c r="AC142" s="106">
        <f t="shared" si="4"/>
        <v>0</v>
      </c>
      <c r="AD142" s="106">
        <f t="shared" si="4"/>
        <v>0</v>
      </c>
      <c r="AE142" s="106">
        <f t="shared" si="4"/>
        <v>0</v>
      </c>
      <c r="AF142" s="106">
        <f t="shared" si="4"/>
        <v>0</v>
      </c>
      <c r="AG142" s="106">
        <f t="shared" si="4"/>
        <v>0</v>
      </c>
      <c r="AH142" s="106">
        <f t="shared" si="4"/>
        <v>0</v>
      </c>
      <c r="AI142" s="106">
        <f t="shared" si="4"/>
        <v>0</v>
      </c>
      <c r="AJ142" s="106">
        <f t="shared" si="4"/>
        <v>-15</v>
      </c>
      <c r="AK142" s="106">
        <f t="shared" si="4"/>
        <v>-15.063567849046093</v>
      </c>
    </row>
    <row r="143" spans="1:37" ht="14.5">
      <c r="A143" s="152"/>
      <c r="B143" s="157"/>
      <c r="C143" s="153"/>
      <c r="D143" s="152"/>
      <c r="E143" s="153"/>
      <c r="F143" s="152"/>
      <c r="G143" s="153"/>
      <c r="H143" s="153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AB143" s="115"/>
      <c r="AC143" s="106">
        <f t="shared" si="4"/>
        <v>0</v>
      </c>
      <c r="AD143" s="106">
        <f t="shared" si="4"/>
        <v>0</v>
      </c>
      <c r="AE143" s="106">
        <f t="shared" si="4"/>
        <v>0</v>
      </c>
      <c r="AF143" s="106">
        <f t="shared" si="4"/>
        <v>0</v>
      </c>
      <c r="AG143" s="106">
        <f t="shared" si="4"/>
        <v>0</v>
      </c>
      <c r="AH143" s="106">
        <f t="shared" si="4"/>
        <v>0</v>
      </c>
      <c r="AI143" s="106">
        <f t="shared" si="4"/>
        <v>0</v>
      </c>
      <c r="AJ143" s="106">
        <f t="shared" si="4"/>
        <v>0</v>
      </c>
      <c r="AK143" s="106">
        <f t="shared" si="4"/>
        <v>0</v>
      </c>
    </row>
    <row r="144" spans="1:37" ht="15" thickBot="1">
      <c r="A144" s="152" t="s">
        <v>194</v>
      </c>
      <c r="B144" s="157"/>
      <c r="C144" s="175">
        <v>-3144</v>
      </c>
      <c r="D144" s="175">
        <v>0</v>
      </c>
      <c r="E144" s="175">
        <v>-1895</v>
      </c>
      <c r="F144" s="155">
        <v>-5403</v>
      </c>
      <c r="G144" s="155">
        <v>0</v>
      </c>
      <c r="H144" s="155">
        <v>0</v>
      </c>
      <c r="I144" s="155">
        <v>-10442</v>
      </c>
      <c r="J144" s="155">
        <v>-5009</v>
      </c>
      <c r="K144" s="155">
        <v>-5403</v>
      </c>
      <c r="L144" s="152"/>
      <c r="M144" s="156"/>
      <c r="N144" s="156"/>
      <c r="O144" s="155">
        <v>-2300</v>
      </c>
      <c r="P144" s="156"/>
      <c r="Q144" s="155">
        <v>-5403</v>
      </c>
      <c r="R144" s="152"/>
      <c r="S144" s="152"/>
      <c r="T144" s="152"/>
      <c r="AA144" s="101" t="s">
        <v>194</v>
      </c>
      <c r="AB144" s="115"/>
      <c r="AC144" s="121">
        <f t="shared" si="4"/>
        <v>-3144</v>
      </c>
      <c r="AD144" s="121">
        <f t="shared" si="4"/>
        <v>0</v>
      </c>
      <c r="AE144" s="121">
        <f t="shared" si="4"/>
        <v>-1895</v>
      </c>
      <c r="AF144" s="113">
        <f t="shared" si="4"/>
        <v>-5403</v>
      </c>
      <c r="AG144" s="113">
        <f t="shared" si="4"/>
        <v>0</v>
      </c>
      <c r="AH144" s="113">
        <f t="shared" si="4"/>
        <v>0</v>
      </c>
      <c r="AI144" s="113">
        <f t="shared" si="4"/>
        <v>-10442</v>
      </c>
      <c r="AJ144" s="113">
        <f t="shared" si="4"/>
        <v>-5009</v>
      </c>
      <c r="AK144" s="113">
        <f t="shared" si="4"/>
        <v>-5403</v>
      </c>
    </row>
    <row r="145" spans="1:37" ht="15" thickTop="1">
      <c r="A145" s="152"/>
      <c r="B145" s="158"/>
      <c r="C145" s="160"/>
      <c r="D145" s="152"/>
      <c r="E145" s="153"/>
      <c r="F145" s="152"/>
      <c r="G145" s="152"/>
      <c r="H145" s="152"/>
      <c r="I145" s="152"/>
      <c r="J145" s="152"/>
      <c r="K145" s="160">
        <v>0</v>
      </c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AB145" s="122"/>
      <c r="AC145" s="106">
        <f t="shared" si="4"/>
        <v>0</v>
      </c>
      <c r="AD145" s="106">
        <f t="shared" si="4"/>
        <v>0</v>
      </c>
      <c r="AE145" s="106">
        <f t="shared" si="4"/>
        <v>0</v>
      </c>
      <c r="AF145" s="106">
        <f t="shared" si="4"/>
        <v>0</v>
      </c>
      <c r="AG145" s="106">
        <f t="shared" si="4"/>
        <v>0</v>
      </c>
      <c r="AH145" s="106">
        <f t="shared" si="4"/>
        <v>0</v>
      </c>
      <c r="AI145" s="106">
        <f t="shared" si="4"/>
        <v>0</v>
      </c>
      <c r="AJ145" s="106">
        <f t="shared" si="4"/>
        <v>0</v>
      </c>
      <c r="AK145" s="106">
        <f t="shared" si="4"/>
        <v>-927.06666666666672</v>
      </c>
    </row>
    <row r="146" spans="1:37">
      <c r="A146" s="152"/>
      <c r="B146" s="152"/>
      <c r="C146" s="152"/>
      <c r="D146" s="152"/>
      <c r="E146" s="160"/>
      <c r="F146" s="152"/>
      <c r="G146" s="160"/>
      <c r="H146" s="153"/>
      <c r="I146" s="152"/>
      <c r="J146" s="160"/>
      <c r="K146" s="160"/>
      <c r="L146" s="160"/>
      <c r="M146" s="160"/>
      <c r="N146" s="152"/>
      <c r="O146" s="152"/>
      <c r="P146" s="152"/>
      <c r="Q146" s="152"/>
      <c r="R146" s="152"/>
      <c r="S146" s="152"/>
      <c r="T146" s="152"/>
      <c r="U146" s="160"/>
      <c r="V146" s="152"/>
    </row>
    <row r="147" spans="1:37">
      <c r="A147" s="152"/>
      <c r="B147" s="152"/>
      <c r="C147" s="160"/>
      <c r="D147" s="152"/>
      <c r="E147" s="160"/>
      <c r="F147" s="160"/>
      <c r="G147" s="152"/>
      <c r="H147" s="153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</row>
    <row r="148" spans="1:37">
      <c r="A148" s="152"/>
      <c r="B148" s="152"/>
      <c r="C148" s="160"/>
      <c r="D148" s="152"/>
      <c r="E148" s="152"/>
      <c r="F148" s="160"/>
      <c r="G148" s="160"/>
      <c r="H148" s="153"/>
      <c r="I148" s="152"/>
      <c r="J148" s="152"/>
      <c r="K148" s="160"/>
      <c r="L148" s="152"/>
      <c r="M148" s="152"/>
      <c r="N148" s="152"/>
      <c r="O148" s="152"/>
      <c r="P148" s="152"/>
      <c r="Q148" s="160"/>
      <c r="R148" s="152"/>
      <c r="S148" s="152"/>
      <c r="T148" s="159" t="s">
        <v>197</v>
      </c>
      <c r="U148" s="152"/>
      <c r="V148" s="152"/>
    </row>
    <row r="149" spans="1:37">
      <c r="A149" s="159"/>
      <c r="B149" s="152"/>
      <c r="C149" s="152"/>
      <c r="D149" s="152"/>
      <c r="E149" s="152"/>
      <c r="F149" s="152"/>
      <c r="G149" s="152"/>
      <c r="H149" s="153"/>
      <c r="I149" s="152"/>
      <c r="J149" s="152"/>
      <c r="K149" s="160"/>
      <c r="L149" s="152"/>
      <c r="M149" s="152"/>
      <c r="N149" s="152"/>
      <c r="O149" s="152"/>
      <c r="P149" s="152"/>
      <c r="Q149" s="160"/>
      <c r="R149" s="152"/>
      <c r="S149" s="152"/>
      <c r="T149" s="159" t="s">
        <v>199</v>
      </c>
      <c r="U149" s="159" t="s">
        <v>73</v>
      </c>
      <c r="V149" s="159" t="s">
        <v>85</v>
      </c>
    </row>
    <row r="150" spans="1:37">
      <c r="A150" s="159"/>
      <c r="B150" s="152"/>
      <c r="C150" s="152"/>
      <c r="D150" s="152"/>
      <c r="E150" s="152"/>
      <c r="F150" s="152"/>
      <c r="G150" s="152"/>
      <c r="H150" s="153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9" t="s">
        <v>201</v>
      </c>
      <c r="U150" s="153">
        <v>-1710</v>
      </c>
      <c r="V150" s="153">
        <v>-3984</v>
      </c>
    </row>
    <row r="151" spans="1:37">
      <c r="A151" s="152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9" t="s">
        <v>203</v>
      </c>
      <c r="U151" s="153">
        <v>6347</v>
      </c>
      <c r="V151" s="153">
        <v>6370</v>
      </c>
    </row>
    <row r="152" spans="1:37" ht="13" thickBot="1">
      <c r="A152" s="152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9" t="s">
        <v>204</v>
      </c>
      <c r="U152" s="153">
        <v>8866</v>
      </c>
      <c r="V152" s="153">
        <v>8870</v>
      </c>
    </row>
    <row r="153" spans="1:37" ht="14.5">
      <c r="A153" s="185" t="s">
        <v>195</v>
      </c>
      <c r="B153" s="185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9" t="s">
        <v>206</v>
      </c>
      <c r="U153" s="153">
        <v>7107</v>
      </c>
      <c r="V153" s="153">
        <v>7644</v>
      </c>
    </row>
    <row r="154" spans="1:37" ht="14.5">
      <c r="A154" s="123" t="s">
        <v>196</v>
      </c>
      <c r="B154" s="186"/>
      <c r="C154" s="152"/>
      <c r="D154" s="152"/>
      <c r="E154" s="152"/>
      <c r="F154" s="152"/>
      <c r="G154" s="152"/>
      <c r="H154" s="152"/>
      <c r="I154" s="152"/>
      <c r="J154" s="152"/>
      <c r="K154" s="186">
        <v>19692.932444597227</v>
      </c>
      <c r="L154" s="152"/>
      <c r="M154" s="152"/>
      <c r="N154" s="152"/>
      <c r="O154" s="152"/>
      <c r="P154" s="152"/>
      <c r="Q154" s="152"/>
      <c r="R154" s="152"/>
      <c r="S154" s="152"/>
      <c r="T154" s="159" t="s">
        <v>208</v>
      </c>
      <c r="U154" s="153">
        <v>7916</v>
      </c>
      <c r="V154" s="153">
        <v>6160</v>
      </c>
    </row>
    <row r="155" spans="1:37" ht="14.5">
      <c r="A155" s="124" t="s">
        <v>198</v>
      </c>
      <c r="B155" s="125"/>
      <c r="C155" s="152"/>
      <c r="D155" s="152"/>
      <c r="E155" s="152"/>
      <c r="F155" s="152"/>
      <c r="G155" s="152"/>
      <c r="H155" s="152"/>
      <c r="I155" s="152"/>
      <c r="J155" s="152"/>
      <c r="K155" s="125">
        <v>18241.092787291091</v>
      </c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</row>
    <row r="156" spans="1:37" ht="14.5">
      <c r="A156" s="124" t="s">
        <v>200</v>
      </c>
      <c r="B156" s="187"/>
      <c r="C156" s="152"/>
      <c r="D156" s="152"/>
      <c r="E156" s="152"/>
      <c r="F156" s="152"/>
      <c r="G156" s="152"/>
      <c r="H156" s="152"/>
      <c r="I156" s="152"/>
      <c r="J156" s="152"/>
      <c r="K156" s="187">
        <v>1291</v>
      </c>
      <c r="L156" s="152"/>
      <c r="M156" s="152"/>
      <c r="N156" s="152"/>
      <c r="O156" s="152"/>
      <c r="P156" s="152"/>
      <c r="Q156" s="152"/>
      <c r="R156" s="152"/>
      <c r="S156" s="152"/>
      <c r="T156" s="159" t="s">
        <v>211</v>
      </c>
      <c r="U156" s="160">
        <v>176126</v>
      </c>
      <c r="V156" s="160">
        <v>171271</v>
      </c>
    </row>
    <row r="157" spans="1:37" ht="14.5">
      <c r="A157" s="124" t="s">
        <v>202</v>
      </c>
      <c r="B157" s="187"/>
      <c r="C157" s="152"/>
      <c r="D157" s="152"/>
      <c r="E157" s="152"/>
      <c r="F157" s="152"/>
      <c r="G157" s="152"/>
      <c r="H157" s="152"/>
      <c r="I157" s="152"/>
      <c r="J157" s="152"/>
      <c r="K157" s="187">
        <v>687.81372388884904</v>
      </c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</row>
    <row r="158" spans="1:37" ht="14.5">
      <c r="A158" s="124" t="s">
        <v>17</v>
      </c>
      <c r="B158" s="125"/>
      <c r="C158" s="152"/>
      <c r="D158" s="152"/>
      <c r="E158" s="152"/>
      <c r="F158" s="152"/>
      <c r="G158" s="152"/>
      <c r="H158" s="152"/>
      <c r="I158" s="152"/>
      <c r="J158" s="152"/>
      <c r="K158" s="125">
        <v>0</v>
      </c>
      <c r="L158" s="152"/>
      <c r="M158" s="152"/>
      <c r="N158" s="152"/>
      <c r="O158" s="152"/>
      <c r="P158" s="152"/>
      <c r="Q158" s="152"/>
      <c r="R158" s="152"/>
      <c r="S158" s="152"/>
      <c r="T158" s="159" t="s">
        <v>214</v>
      </c>
      <c r="U158" s="189">
        <v>22.249368367862555</v>
      </c>
      <c r="V158" s="189">
        <v>27.803733766233766</v>
      </c>
    </row>
    <row r="159" spans="1:37" ht="14.5">
      <c r="A159" s="126" t="s">
        <v>205</v>
      </c>
      <c r="B159" s="127"/>
      <c r="C159" s="152"/>
      <c r="D159" s="152"/>
      <c r="E159" s="152"/>
      <c r="F159" s="152"/>
      <c r="G159" s="152"/>
      <c r="H159" s="152"/>
      <c r="I159" s="152"/>
      <c r="J159" s="152"/>
      <c r="K159" s="127">
        <v>526.97406658271257</v>
      </c>
      <c r="L159" s="152"/>
      <c r="M159" s="152"/>
      <c r="N159" s="152"/>
      <c r="O159" s="152"/>
      <c r="P159" s="152"/>
      <c r="Q159" s="152"/>
      <c r="R159" s="152"/>
      <c r="S159" s="152"/>
      <c r="T159" s="159" t="s">
        <v>214</v>
      </c>
      <c r="U159" s="189">
        <v>3.5</v>
      </c>
      <c r="V159" s="189">
        <v>3.5</v>
      </c>
    </row>
    <row r="160" spans="1:37" ht="14.5">
      <c r="A160" s="126" t="s">
        <v>207</v>
      </c>
      <c r="B160" s="127"/>
      <c r="C160" s="152"/>
      <c r="D160" s="152"/>
      <c r="E160" s="152"/>
      <c r="F160" s="152"/>
      <c r="G160" s="152"/>
      <c r="H160" s="152"/>
      <c r="I160" s="152"/>
      <c r="J160" s="152"/>
      <c r="K160" s="127">
        <v>0</v>
      </c>
      <c r="L160" s="152"/>
      <c r="M160" s="152"/>
      <c r="N160" s="152"/>
      <c r="O160" s="152"/>
      <c r="P160" s="152"/>
      <c r="Q160" s="152"/>
      <c r="R160" s="152"/>
      <c r="S160" s="152"/>
      <c r="T160" s="159" t="s">
        <v>217</v>
      </c>
      <c r="U160" s="189">
        <v>-18.749368367862555</v>
      </c>
      <c r="V160" s="189">
        <v>-24.303733766233766</v>
      </c>
    </row>
    <row r="161" spans="1:22" ht="14.5">
      <c r="A161" s="126" t="s">
        <v>209</v>
      </c>
      <c r="B161" s="127"/>
      <c r="C161" s="152"/>
      <c r="D161" s="152"/>
      <c r="E161" s="152"/>
      <c r="F161" s="152"/>
      <c r="G161" s="152"/>
      <c r="H161" s="152"/>
      <c r="I161" s="152"/>
      <c r="J161" s="152"/>
      <c r="K161" s="127">
        <v>0</v>
      </c>
      <c r="L161" s="152"/>
      <c r="M161" s="152"/>
      <c r="N161" s="152"/>
      <c r="O161" s="152"/>
      <c r="P161" s="152"/>
      <c r="Q161" s="152"/>
      <c r="R161" s="152"/>
      <c r="S161" s="152"/>
      <c r="T161" s="159" t="s">
        <v>219</v>
      </c>
      <c r="U161" s="160">
        <v>42405.714285714283</v>
      </c>
      <c r="V161" s="160">
        <v>42774.571428571428</v>
      </c>
    </row>
    <row r="162" spans="1:22" ht="14.5">
      <c r="A162" s="128" t="s">
        <v>210</v>
      </c>
      <c r="B162" s="127"/>
      <c r="C162" s="152"/>
      <c r="D162" s="152"/>
      <c r="E162" s="152"/>
      <c r="F162" s="152"/>
      <c r="G162" s="152"/>
      <c r="H162" s="152"/>
      <c r="I162" s="152"/>
      <c r="J162" s="152"/>
      <c r="K162" s="127">
        <v>2775.6015012699886</v>
      </c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</row>
    <row r="163" spans="1:22" ht="14.5">
      <c r="A163" s="129" t="s">
        <v>212</v>
      </c>
      <c r="B163" s="125"/>
      <c r="C163" s="152"/>
      <c r="D163" s="152"/>
      <c r="E163" s="152"/>
      <c r="F163" s="152"/>
      <c r="G163" s="152"/>
      <c r="H163" s="152"/>
      <c r="I163" s="152"/>
      <c r="J163" s="152"/>
      <c r="K163" s="125">
        <v>2665.8305620537099</v>
      </c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</row>
    <row r="164" spans="1:22" ht="14.5">
      <c r="A164" s="129" t="s">
        <v>213</v>
      </c>
      <c r="B164" s="125"/>
      <c r="C164" s="152"/>
      <c r="D164" s="152"/>
      <c r="E164" s="152"/>
      <c r="F164" s="152"/>
      <c r="G164" s="152"/>
      <c r="H164" s="152"/>
      <c r="I164" s="152"/>
      <c r="J164" s="152"/>
      <c r="K164" s="125">
        <v>185.44597201318413</v>
      </c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</row>
    <row r="165" spans="1:22" ht="14.5">
      <c r="A165" s="126" t="s">
        <v>215</v>
      </c>
      <c r="B165" s="125"/>
      <c r="C165" s="152"/>
      <c r="D165" s="152"/>
      <c r="E165" s="152"/>
      <c r="F165" s="152"/>
      <c r="G165" s="152"/>
      <c r="H165" s="152"/>
      <c r="I165" s="152"/>
      <c r="J165" s="152"/>
      <c r="K165" s="125">
        <v>75.6750327969051</v>
      </c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</row>
    <row r="166" spans="1:22" ht="14.5">
      <c r="A166" s="126" t="s">
        <v>216</v>
      </c>
      <c r="B166" s="127"/>
      <c r="C166" s="152"/>
      <c r="D166" s="152"/>
      <c r="E166" s="152"/>
      <c r="F166" s="152"/>
      <c r="G166" s="152"/>
      <c r="H166" s="152"/>
      <c r="I166" s="152"/>
      <c r="J166" s="152"/>
      <c r="K166" s="127">
        <v>0</v>
      </c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</row>
    <row r="167" spans="1:22" ht="14.5">
      <c r="A167" s="131" t="s">
        <v>218</v>
      </c>
      <c r="B167" s="132"/>
      <c r="C167" s="152"/>
      <c r="D167" s="152"/>
      <c r="E167" s="152"/>
      <c r="F167" s="152"/>
      <c r="G167" s="152"/>
      <c r="H167" s="152"/>
      <c r="I167" s="152"/>
      <c r="J167" s="152"/>
      <c r="K167" s="132">
        <v>16917.330943327237</v>
      </c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</row>
    <row r="168" spans="1:22" ht="14.5">
      <c r="A168" s="133" t="s">
        <v>220</v>
      </c>
      <c r="B168" s="125"/>
      <c r="C168" s="152"/>
      <c r="D168" s="152"/>
      <c r="E168" s="152"/>
      <c r="F168" s="152"/>
      <c r="G168" s="152"/>
      <c r="H168" s="152"/>
      <c r="I168" s="152"/>
      <c r="J168" s="152"/>
      <c r="K168" s="125">
        <v>6660.0517582020475</v>
      </c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</row>
    <row r="169" spans="1:22" ht="14.5">
      <c r="A169" s="124" t="s">
        <v>221</v>
      </c>
      <c r="B169" s="127"/>
      <c r="C169" s="152"/>
      <c r="D169" s="152"/>
      <c r="E169" s="152"/>
      <c r="F169" s="152"/>
      <c r="G169" s="152"/>
      <c r="H169" s="152"/>
      <c r="I169" s="152"/>
      <c r="J169" s="152"/>
      <c r="K169" s="127">
        <v>5486.9068051513486</v>
      </c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</row>
    <row r="170" spans="1:22" ht="14.5">
      <c r="A170" s="124" t="s">
        <v>202</v>
      </c>
      <c r="B170" s="127"/>
      <c r="C170" s="152"/>
      <c r="D170" s="152"/>
      <c r="E170" s="152"/>
      <c r="F170" s="152"/>
      <c r="G170" s="152"/>
      <c r="H170" s="152"/>
      <c r="I170" s="152"/>
      <c r="J170" s="152"/>
      <c r="K170" s="127">
        <v>1173.1449530506991</v>
      </c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</row>
    <row r="171" spans="1:22" ht="14.5">
      <c r="A171" s="124" t="s">
        <v>222</v>
      </c>
      <c r="B171" s="127"/>
      <c r="C171" s="152"/>
      <c r="D171" s="152"/>
      <c r="E171" s="152"/>
      <c r="F171" s="152"/>
      <c r="G171" s="152"/>
      <c r="H171" s="152"/>
      <c r="I171" s="152"/>
      <c r="J171" s="152"/>
      <c r="K171" s="127">
        <v>0</v>
      </c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</row>
    <row r="172" spans="1:22" ht="14.5">
      <c r="A172" s="131" t="s">
        <v>2</v>
      </c>
      <c r="B172" s="132"/>
      <c r="C172" s="152"/>
      <c r="D172" s="152"/>
      <c r="E172" s="152"/>
      <c r="F172" s="152"/>
      <c r="G172" s="152"/>
      <c r="H172" s="152"/>
      <c r="I172" s="152"/>
      <c r="J172" s="152"/>
      <c r="K172" s="132">
        <v>10257.27918512519</v>
      </c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</row>
    <row r="173" spans="1:22" ht="14.5">
      <c r="A173" s="134" t="s">
        <v>4</v>
      </c>
      <c r="B173" s="135"/>
      <c r="C173" s="152"/>
      <c r="D173" s="152"/>
      <c r="E173" s="152"/>
      <c r="F173" s="152"/>
      <c r="G173" s="152"/>
      <c r="H173" s="152"/>
      <c r="I173" s="152"/>
      <c r="J173" s="152"/>
      <c r="K173" s="135">
        <v>0.59568235249464341</v>
      </c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</row>
    <row r="174" spans="1:22" ht="14.5">
      <c r="A174" s="134"/>
      <c r="B174" s="136"/>
      <c r="C174" s="152"/>
      <c r="D174" s="152"/>
      <c r="E174" s="152"/>
      <c r="F174" s="152"/>
      <c r="G174" s="152"/>
      <c r="H174" s="152"/>
      <c r="I174" s="152"/>
      <c r="J174" s="152"/>
      <c r="K174" s="136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</row>
    <row r="175" spans="1:22" ht="14.5">
      <c r="A175" s="137" t="s">
        <v>52</v>
      </c>
      <c r="B175" s="125"/>
      <c r="C175" s="152"/>
      <c r="D175" s="152"/>
      <c r="E175" s="152"/>
      <c r="F175" s="152"/>
      <c r="G175" s="152"/>
      <c r="H175" s="152"/>
      <c r="I175" s="152"/>
      <c r="J175" s="152"/>
      <c r="K175" s="125">
        <v>10552.775973267757</v>
      </c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</row>
    <row r="176" spans="1:22" ht="14.5">
      <c r="A176" s="138" t="s">
        <v>223</v>
      </c>
      <c r="B176" s="139"/>
      <c r="C176" s="152"/>
      <c r="D176" s="152"/>
      <c r="E176" s="152"/>
      <c r="F176" s="152"/>
      <c r="G176" s="152"/>
      <c r="H176" s="152"/>
      <c r="I176" s="152"/>
      <c r="J176" s="152"/>
      <c r="K176" s="139">
        <v>5708.2018461197977</v>
      </c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</row>
    <row r="177" spans="1:17" ht="14.5">
      <c r="A177" s="138" t="s">
        <v>224</v>
      </c>
      <c r="B177" s="125"/>
      <c r="C177" s="152"/>
      <c r="D177" s="152"/>
      <c r="E177" s="152"/>
      <c r="F177" s="152"/>
      <c r="G177" s="152"/>
      <c r="H177" s="152"/>
      <c r="I177" s="152"/>
      <c r="J177" s="152"/>
      <c r="K177" s="125">
        <v>4844.5741271479592</v>
      </c>
      <c r="Q177" s="107"/>
    </row>
    <row r="178" spans="1:17" ht="14.5">
      <c r="A178" s="137" t="s">
        <v>225</v>
      </c>
      <c r="B178" s="125"/>
      <c r="C178" s="152"/>
      <c r="D178" s="152"/>
      <c r="E178" s="152"/>
      <c r="F178" s="152"/>
      <c r="G178" s="152"/>
      <c r="H178" s="152"/>
      <c r="I178" s="152"/>
      <c r="J178" s="152"/>
      <c r="K178" s="125">
        <v>2530.7577717723161</v>
      </c>
      <c r="Q178" s="107"/>
    </row>
    <row r="179" spans="1:17" ht="14.5">
      <c r="A179" s="123" t="s">
        <v>225</v>
      </c>
      <c r="B179" s="125"/>
      <c r="C179" s="152"/>
      <c r="D179" s="152"/>
      <c r="E179" s="152"/>
      <c r="F179" s="152"/>
      <c r="G179" s="152"/>
      <c r="H179" s="152"/>
      <c r="I179" s="152"/>
      <c r="J179" s="152"/>
      <c r="K179" s="125">
        <v>1973.1285357426675</v>
      </c>
      <c r="Q179" s="107"/>
    </row>
    <row r="180" spans="1:17" ht="14.5">
      <c r="A180" s="123" t="s">
        <v>3</v>
      </c>
      <c r="B180" s="140"/>
      <c r="C180" s="152"/>
      <c r="D180" s="152"/>
      <c r="E180" s="152"/>
      <c r="F180" s="152"/>
      <c r="G180" s="152"/>
      <c r="H180" s="152"/>
      <c r="I180" s="152"/>
      <c r="J180" s="152"/>
      <c r="K180" s="140">
        <v>201.02146102964883</v>
      </c>
      <c r="Q180" s="107"/>
    </row>
    <row r="181" spans="1:17" ht="14.5">
      <c r="A181" s="123" t="s">
        <v>226</v>
      </c>
      <c r="B181" s="141"/>
      <c r="C181" s="152"/>
      <c r="D181" s="152"/>
      <c r="E181" s="152"/>
      <c r="F181" s="152"/>
      <c r="G181" s="152"/>
      <c r="H181" s="152"/>
      <c r="I181" s="152"/>
      <c r="J181" s="152"/>
      <c r="K181" s="141">
        <v>356.607775</v>
      </c>
      <c r="Q181" s="107"/>
    </row>
    <row r="182" spans="1:17" ht="14.5">
      <c r="A182" s="137" t="s">
        <v>227</v>
      </c>
      <c r="B182" s="125"/>
      <c r="C182" s="152"/>
      <c r="D182" s="152"/>
      <c r="E182" s="152"/>
      <c r="F182" s="152"/>
      <c r="G182" s="152"/>
      <c r="H182" s="152"/>
      <c r="I182" s="152"/>
      <c r="J182" s="152"/>
      <c r="K182" s="125">
        <v>-218.33333333333334</v>
      </c>
      <c r="Q182" s="107"/>
    </row>
    <row r="183" spans="1:17" ht="14.5">
      <c r="A183" s="123" t="s">
        <v>228</v>
      </c>
      <c r="B183" s="141"/>
      <c r="C183" s="152"/>
      <c r="D183" s="152"/>
      <c r="E183" s="152"/>
      <c r="F183" s="152"/>
      <c r="G183" s="152"/>
      <c r="H183" s="152"/>
      <c r="I183" s="152"/>
      <c r="J183" s="152"/>
      <c r="K183" s="141">
        <v>40</v>
      </c>
      <c r="Q183" s="107"/>
    </row>
    <row r="184" spans="1:17" ht="14.5">
      <c r="A184" s="123" t="s">
        <v>229</v>
      </c>
      <c r="B184" s="140"/>
      <c r="C184" s="152"/>
      <c r="D184" s="152"/>
      <c r="E184" s="152"/>
      <c r="F184" s="152"/>
      <c r="G184" s="152"/>
      <c r="H184" s="152"/>
      <c r="I184" s="152"/>
      <c r="J184" s="152"/>
      <c r="K184" s="140">
        <v>250</v>
      </c>
      <c r="Q184" s="107"/>
    </row>
    <row r="185" spans="1:17" ht="14.5">
      <c r="A185" s="138" t="s">
        <v>230</v>
      </c>
      <c r="B185" s="127"/>
      <c r="C185" s="152"/>
      <c r="D185" s="152"/>
      <c r="E185" s="152"/>
      <c r="F185" s="152"/>
      <c r="G185" s="152"/>
      <c r="H185" s="152"/>
      <c r="I185" s="152"/>
      <c r="J185" s="152"/>
      <c r="K185" s="127">
        <v>-8.3333333333333339</v>
      </c>
      <c r="Q185" s="107"/>
    </row>
    <row r="186" spans="1:17" ht="14.5">
      <c r="A186" s="123" t="s">
        <v>231</v>
      </c>
      <c r="B186" s="142"/>
      <c r="C186" s="152"/>
      <c r="D186" s="152"/>
      <c r="E186" s="152"/>
      <c r="F186" s="152"/>
      <c r="G186" s="152"/>
      <c r="H186" s="152"/>
      <c r="I186" s="152"/>
      <c r="J186" s="152"/>
      <c r="K186" s="142">
        <v>0</v>
      </c>
      <c r="Q186" s="107"/>
    </row>
    <row r="187" spans="1:17" ht="14.5">
      <c r="A187" s="137" t="s">
        <v>232</v>
      </c>
      <c r="B187" s="125"/>
      <c r="C187" s="152"/>
      <c r="D187" s="152"/>
      <c r="E187" s="152"/>
      <c r="F187" s="152"/>
      <c r="G187" s="152"/>
      <c r="H187" s="152"/>
      <c r="I187" s="152"/>
      <c r="J187" s="152"/>
      <c r="K187" s="125">
        <v>-1667.3769621482606</v>
      </c>
      <c r="Q187" s="107"/>
    </row>
    <row r="188" spans="1:17" ht="14.5">
      <c r="A188" s="123" t="s">
        <v>233</v>
      </c>
      <c r="B188" s="140"/>
      <c r="C188" s="152"/>
      <c r="D188" s="152"/>
      <c r="E188" s="152"/>
      <c r="F188" s="152"/>
      <c r="G188" s="152"/>
      <c r="H188" s="152"/>
      <c r="I188" s="152"/>
      <c r="J188" s="152"/>
      <c r="K188" s="140">
        <v>140.84719683872652</v>
      </c>
      <c r="Q188" s="107"/>
    </row>
    <row r="189" spans="1:17" ht="14.5">
      <c r="A189" s="123" t="s">
        <v>234</v>
      </c>
      <c r="B189" s="140"/>
      <c r="C189" s="152"/>
      <c r="D189" s="152"/>
      <c r="E189" s="152"/>
      <c r="F189" s="152"/>
      <c r="G189" s="152"/>
      <c r="H189" s="152"/>
      <c r="I189" s="152"/>
      <c r="J189" s="152"/>
      <c r="K189" s="140">
        <v>-666.72890933849135</v>
      </c>
      <c r="Q189" s="107"/>
    </row>
    <row r="190" spans="1:17" ht="14.5">
      <c r="A190" s="138" t="s">
        <v>235</v>
      </c>
      <c r="B190" s="140"/>
      <c r="C190" s="152"/>
      <c r="D190" s="152"/>
      <c r="E190" s="152"/>
      <c r="F190" s="152"/>
      <c r="G190" s="152"/>
      <c r="H190" s="152"/>
      <c r="I190" s="152"/>
      <c r="J190" s="152"/>
      <c r="K190" s="140">
        <v>-1141.4952496484957</v>
      </c>
      <c r="Q190" s="107"/>
    </row>
    <row r="191" spans="1:17" ht="14.5">
      <c r="A191" s="137" t="s">
        <v>236</v>
      </c>
      <c r="B191" s="127"/>
      <c r="C191" s="152"/>
      <c r="D191" s="152"/>
      <c r="E191" s="152"/>
      <c r="F191" s="152"/>
      <c r="G191" s="152"/>
      <c r="H191" s="152"/>
      <c r="I191" s="152"/>
      <c r="J191" s="152"/>
      <c r="K191" s="127">
        <v>-796.97317125585778</v>
      </c>
      <c r="Q191" s="107"/>
    </row>
    <row r="192" spans="1:17" ht="14.5">
      <c r="A192" s="137" t="s">
        <v>237</v>
      </c>
      <c r="B192" s="127"/>
      <c r="C192" s="152"/>
      <c r="D192" s="152"/>
      <c r="E192" s="152"/>
      <c r="F192" s="152"/>
      <c r="G192" s="152"/>
      <c r="H192" s="152"/>
      <c r="I192" s="152"/>
      <c r="J192" s="152"/>
      <c r="K192" s="127">
        <v>-2348.0360527856596</v>
      </c>
      <c r="Q192" s="107"/>
    </row>
    <row r="193" spans="1:17" ht="14.5">
      <c r="A193" s="137" t="s">
        <v>238</v>
      </c>
      <c r="B193" s="143"/>
      <c r="C193" s="152"/>
      <c r="D193" s="152"/>
      <c r="E193" s="152"/>
      <c r="F193" s="152"/>
      <c r="G193" s="152"/>
      <c r="H193" s="152"/>
      <c r="I193" s="152"/>
      <c r="J193" s="152"/>
      <c r="K193" s="143">
        <v>692.39995327335271</v>
      </c>
      <c r="Q193" s="107"/>
    </row>
    <row r="194" spans="1:17" ht="14.5">
      <c r="A194" s="144" t="s">
        <v>239</v>
      </c>
      <c r="B194" s="132"/>
      <c r="C194" s="152"/>
      <c r="D194" s="152"/>
      <c r="E194" s="152"/>
      <c r="F194" s="152"/>
      <c r="G194" s="152"/>
      <c r="H194" s="152"/>
      <c r="I194" s="152"/>
      <c r="J194" s="152"/>
      <c r="K194" s="132">
        <v>1075.3983396682083</v>
      </c>
      <c r="Q194" s="107"/>
    </row>
    <row r="195" spans="1:17" ht="14.5">
      <c r="A195" s="145" t="s">
        <v>7</v>
      </c>
      <c r="B195" s="146"/>
      <c r="C195" s="152"/>
      <c r="D195" s="152"/>
      <c r="E195" s="152"/>
      <c r="F195" s="152"/>
      <c r="G195" s="152"/>
      <c r="H195" s="152"/>
      <c r="I195" s="152"/>
      <c r="J195" s="152"/>
      <c r="K195" s="146">
        <v>6.3567849046092084E-2</v>
      </c>
      <c r="Q195" s="107"/>
    </row>
    <row r="196" spans="1:17" ht="15" thickBot="1">
      <c r="A196" s="145"/>
      <c r="B196" s="136"/>
      <c r="C196" s="152"/>
      <c r="D196" s="152"/>
      <c r="E196" s="152"/>
      <c r="F196" s="152"/>
      <c r="G196" s="152"/>
      <c r="H196" s="152"/>
      <c r="I196" s="152"/>
      <c r="J196" s="152"/>
      <c r="K196" s="136"/>
      <c r="Q196" s="107"/>
    </row>
    <row r="197" spans="1:17" ht="14.5">
      <c r="A197" s="147" t="s">
        <v>240</v>
      </c>
      <c r="B197" s="148"/>
      <c r="C197" s="152"/>
      <c r="D197" s="152"/>
      <c r="E197" s="152"/>
      <c r="F197" s="152"/>
      <c r="G197" s="152"/>
      <c r="H197" s="152"/>
      <c r="I197" s="152"/>
      <c r="J197" s="152"/>
      <c r="K197" s="148"/>
      <c r="Q197" s="107"/>
    </row>
    <row r="198" spans="1:17" ht="14.5">
      <c r="A198" s="138" t="s">
        <v>241</v>
      </c>
      <c r="B198" s="127"/>
      <c r="C198" s="152"/>
      <c r="D198" s="152"/>
      <c r="E198" s="152"/>
      <c r="F198" s="152"/>
      <c r="G198" s="152"/>
      <c r="H198" s="152"/>
      <c r="I198" s="152"/>
      <c r="J198" s="152"/>
      <c r="K198" s="127">
        <v>927.06666666666672</v>
      </c>
      <c r="Q198" s="107"/>
    </row>
    <row r="199" spans="1:17" ht="14.5">
      <c r="A199" s="138" t="s">
        <v>242</v>
      </c>
      <c r="B199" s="127"/>
      <c r="C199" s="152"/>
      <c r="D199" s="152"/>
      <c r="E199" s="152"/>
      <c r="F199" s="152"/>
      <c r="G199" s="152"/>
      <c r="H199" s="152"/>
      <c r="I199" s="152"/>
      <c r="J199" s="152"/>
      <c r="K199" s="127">
        <v>0</v>
      </c>
      <c r="Q199" s="107"/>
    </row>
    <row r="200" spans="1:17" ht="14.5">
      <c r="A200" s="138" t="s">
        <v>243</v>
      </c>
      <c r="B200" s="149"/>
      <c r="C200" s="152"/>
      <c r="D200" s="152"/>
      <c r="E200" s="152"/>
      <c r="F200" s="152"/>
      <c r="G200" s="152"/>
      <c r="H200" s="152"/>
      <c r="I200" s="152"/>
      <c r="J200" s="152"/>
      <c r="K200" s="149">
        <v>0</v>
      </c>
      <c r="Q200" s="107"/>
    </row>
    <row r="201" spans="1:17" ht="14.5">
      <c r="A201" s="144" t="s">
        <v>244</v>
      </c>
      <c r="B201" s="132"/>
      <c r="C201" s="152"/>
      <c r="D201" s="152"/>
      <c r="E201" s="152"/>
      <c r="F201" s="152"/>
      <c r="G201" s="152"/>
      <c r="H201" s="152"/>
      <c r="I201" s="152"/>
      <c r="J201" s="152"/>
      <c r="K201" s="132">
        <v>2002.4650063348749</v>
      </c>
      <c r="Q201" s="107"/>
    </row>
    <row r="202" spans="1:17" ht="14.5">
      <c r="A202" s="150" t="s">
        <v>6</v>
      </c>
      <c r="B202" s="146"/>
      <c r="C202" s="152"/>
      <c r="D202" s="152"/>
      <c r="E202" s="152"/>
      <c r="F202" s="152"/>
      <c r="G202" s="152"/>
      <c r="H202" s="152"/>
      <c r="I202" s="152"/>
      <c r="J202" s="152"/>
      <c r="K202" s="146">
        <v>0.11836766763286111</v>
      </c>
      <c r="Q202" s="107"/>
    </row>
    <row r="203" spans="1:17" ht="14.5">
      <c r="A203" s="151"/>
      <c r="B203" s="136"/>
      <c r="C203" s="152"/>
      <c r="D203" s="152"/>
      <c r="E203" s="152"/>
      <c r="F203" s="152"/>
      <c r="G203" s="152"/>
      <c r="H203" s="152"/>
      <c r="I203" s="152"/>
      <c r="J203" s="152"/>
      <c r="K203" s="136"/>
      <c r="Q203" s="107"/>
    </row>
    <row r="204" spans="1:17" ht="14.5">
      <c r="A204" s="138" t="s">
        <v>245</v>
      </c>
      <c r="B204" s="127"/>
      <c r="C204" s="152"/>
      <c r="D204" s="152"/>
      <c r="E204" s="152"/>
      <c r="F204" s="152"/>
      <c r="G204" s="152"/>
      <c r="H204" s="152"/>
      <c r="I204" s="152"/>
      <c r="J204" s="152"/>
      <c r="K204" s="127">
        <v>496.91821947521396</v>
      </c>
      <c r="Q204" s="107"/>
    </row>
    <row r="205" spans="1:17" ht="14.5">
      <c r="A205" s="138" t="s">
        <v>246</v>
      </c>
      <c r="B205" s="127"/>
      <c r="C205" s="152"/>
      <c r="D205" s="152"/>
      <c r="E205" s="152"/>
      <c r="F205" s="152"/>
      <c r="G205" s="152"/>
      <c r="H205" s="152"/>
      <c r="I205" s="152"/>
      <c r="J205" s="152"/>
      <c r="K205" s="127"/>
      <c r="Q205" s="107"/>
    </row>
    <row r="206" spans="1:17" ht="14.5">
      <c r="A206" s="138" t="s">
        <v>247</v>
      </c>
      <c r="B206" s="127"/>
      <c r="C206" s="152"/>
      <c r="D206" s="152"/>
      <c r="E206" s="152"/>
      <c r="F206" s="152"/>
      <c r="G206" s="152"/>
      <c r="H206" s="152"/>
      <c r="I206" s="152"/>
      <c r="J206" s="152"/>
      <c r="K206" s="127">
        <v>-1667.3769621482606</v>
      </c>
      <c r="Q206" s="107"/>
    </row>
    <row r="207" spans="1:17" ht="14.5">
      <c r="A207" s="138" t="s">
        <v>248</v>
      </c>
      <c r="B207" s="127"/>
      <c r="C207" s="152"/>
      <c r="D207" s="152"/>
      <c r="E207" s="152"/>
      <c r="F207" s="152"/>
      <c r="G207" s="152"/>
      <c r="H207" s="152"/>
      <c r="I207" s="152"/>
      <c r="J207" s="152"/>
      <c r="K207" s="127">
        <v>-796.97317125585778</v>
      </c>
    </row>
    <row r="208" spans="1:17" ht="14.5">
      <c r="A208" s="138" t="s">
        <v>249</v>
      </c>
      <c r="B208" s="127"/>
      <c r="C208" s="152"/>
      <c r="D208" s="152"/>
      <c r="E208" s="152"/>
      <c r="F208" s="152"/>
      <c r="G208" s="152"/>
      <c r="H208" s="152"/>
      <c r="I208" s="152"/>
      <c r="J208" s="152"/>
      <c r="K208" s="127">
        <v>-2348.0360527856596</v>
      </c>
    </row>
    <row r="209" spans="1:22" ht="14.5">
      <c r="A209" s="138" t="s">
        <v>250</v>
      </c>
      <c r="B209" s="127"/>
      <c r="C209" s="152"/>
      <c r="D209" s="152"/>
      <c r="E209" s="152"/>
      <c r="F209" s="152"/>
      <c r="G209" s="152"/>
      <c r="H209" s="152"/>
      <c r="I209" s="152"/>
      <c r="J209" s="152"/>
      <c r="K209" s="127">
        <v>-234.66671339331401</v>
      </c>
    </row>
    <row r="210" spans="1:22" ht="14.5">
      <c r="A210" s="144" t="s">
        <v>251</v>
      </c>
      <c r="B210" s="132"/>
      <c r="C210" s="152"/>
      <c r="D210" s="152"/>
      <c r="E210" s="152"/>
      <c r="F210" s="152"/>
      <c r="G210" s="152"/>
      <c r="H210" s="152"/>
      <c r="I210" s="152"/>
      <c r="J210" s="152"/>
      <c r="K210" s="132">
        <v>-2547.669673773004</v>
      </c>
    </row>
    <row r="211" spans="1:22" ht="14.5">
      <c r="A211" s="150" t="s">
        <v>5</v>
      </c>
      <c r="B211" s="146"/>
      <c r="C211" s="152"/>
      <c r="D211" s="152"/>
      <c r="E211" s="152"/>
      <c r="F211" s="152"/>
      <c r="G211" s="152"/>
      <c r="H211" s="152"/>
      <c r="I211" s="152"/>
      <c r="J211" s="152"/>
      <c r="K211" s="146">
        <v>-0.15059524946976877</v>
      </c>
      <c r="T211" s="109"/>
    </row>
    <row r="212" spans="1:22" ht="14.5">
      <c r="A212" s="151"/>
      <c r="B212" s="136"/>
      <c r="C212" s="152"/>
      <c r="D212" s="152"/>
      <c r="E212" s="152"/>
      <c r="F212" s="152"/>
      <c r="G212" s="152"/>
      <c r="H212" s="152"/>
      <c r="I212" s="152"/>
      <c r="J212" s="152"/>
      <c r="K212" s="136"/>
      <c r="T212" s="109"/>
      <c r="U212" s="109"/>
      <c r="V212" s="109"/>
    </row>
    <row r="213" spans="1:22" ht="14.5">
      <c r="A213" s="138" t="s">
        <v>252</v>
      </c>
      <c r="B213" s="127"/>
      <c r="C213" s="152"/>
      <c r="D213" s="152"/>
      <c r="E213" s="152"/>
      <c r="F213" s="152"/>
      <c r="G213" s="152"/>
      <c r="H213" s="152"/>
      <c r="I213" s="152"/>
      <c r="J213" s="152"/>
      <c r="K213" s="127">
        <v>1141.4952496484957</v>
      </c>
      <c r="T213" s="109"/>
      <c r="U213" s="106"/>
      <c r="V213" s="106"/>
    </row>
    <row r="214" spans="1:22" ht="14.5">
      <c r="A214" s="138" t="s">
        <v>253</v>
      </c>
      <c r="B214" s="127"/>
      <c r="C214" s="152"/>
      <c r="D214" s="152"/>
      <c r="E214" s="152"/>
      <c r="F214" s="152"/>
      <c r="G214" s="152"/>
      <c r="H214" s="152"/>
      <c r="I214" s="152"/>
      <c r="J214" s="152"/>
      <c r="K214" s="127">
        <v>-690.19621586268818</v>
      </c>
      <c r="T214" s="109"/>
      <c r="U214" s="106"/>
      <c r="V214" s="106"/>
    </row>
    <row r="215" spans="1:22" ht="14.5">
      <c r="A215" s="144" t="s">
        <v>254</v>
      </c>
      <c r="B215" s="132"/>
      <c r="C215" s="152"/>
      <c r="D215" s="152"/>
      <c r="E215" s="152"/>
      <c r="F215" s="152"/>
      <c r="G215" s="152"/>
      <c r="H215" s="152"/>
      <c r="I215" s="152"/>
      <c r="J215" s="152"/>
      <c r="K215" s="132">
        <v>-2096.3706399871962</v>
      </c>
      <c r="T215" s="109"/>
      <c r="U215" s="106"/>
      <c r="V215" s="106"/>
    </row>
    <row r="216" spans="1:22" ht="14.5">
      <c r="A216" s="150" t="s">
        <v>255</v>
      </c>
      <c r="B216" s="146"/>
      <c r="C216" s="152"/>
      <c r="D216" s="152"/>
      <c r="E216" s="152"/>
      <c r="F216" s="152"/>
      <c r="G216" s="152"/>
      <c r="H216" s="152"/>
      <c r="I216" s="152"/>
      <c r="J216" s="152"/>
      <c r="K216" s="146">
        <v>-0.12391852160426495</v>
      </c>
      <c r="T216" s="109"/>
      <c r="U216" s="106"/>
      <c r="V216" s="106"/>
    </row>
    <row r="217" spans="1:22" ht="14.5">
      <c r="A217" s="126" t="s">
        <v>207</v>
      </c>
      <c r="B217" s="127"/>
      <c r="K217" s="127">
        <v>0</v>
      </c>
      <c r="T217" s="109" t="s">
        <v>208</v>
      </c>
      <c r="U217" s="106">
        <f>U213-U214+U215+U216</f>
        <v>0</v>
      </c>
      <c r="V217" s="106">
        <f>V213-V214+V215+V216</f>
        <v>0</v>
      </c>
    </row>
    <row r="218" spans="1:22" ht="14.5">
      <c r="A218" s="126" t="s">
        <v>209</v>
      </c>
      <c r="B218" s="127"/>
      <c r="K218" s="127">
        <v>0</v>
      </c>
    </row>
    <row r="219" spans="1:22" ht="14.5">
      <c r="A219" s="128" t="s">
        <v>210</v>
      </c>
      <c r="B219" s="127"/>
      <c r="K219" s="127">
        <f>SUM(K220:K221,K223)-K222</f>
        <v>2775.6015012699886</v>
      </c>
      <c r="T219" s="109" t="s">
        <v>211</v>
      </c>
      <c r="U219" s="107">
        <f>(C53+C65+J53)-C9</f>
        <v>176126</v>
      </c>
      <c r="V219" s="107">
        <f>(L53+L65)-L9</f>
        <v>171271</v>
      </c>
    </row>
    <row r="220" spans="1:22" ht="14.5">
      <c r="A220" s="129" t="s">
        <v>212</v>
      </c>
      <c r="B220" s="125"/>
      <c r="K220" s="125">
        <v>2665.8305620537099</v>
      </c>
    </row>
    <row r="221" spans="1:22" ht="14.5">
      <c r="A221" s="129" t="s">
        <v>213</v>
      </c>
      <c r="B221" s="125"/>
      <c r="K221" s="125">
        <v>185.44597201318413</v>
      </c>
      <c r="T221" s="109" t="s">
        <v>214</v>
      </c>
      <c r="U221" s="130" t="e">
        <f>U219/U217</f>
        <v>#DIV/0!</v>
      </c>
      <c r="V221" s="130" t="e">
        <f>V219/V217</f>
        <v>#DIV/0!</v>
      </c>
    </row>
    <row r="222" spans="1:22" ht="14.5">
      <c r="A222" s="126" t="s">
        <v>215</v>
      </c>
      <c r="B222" s="125"/>
      <c r="K222" s="125">
        <v>75.6750327969051</v>
      </c>
      <c r="T222" s="109" t="s">
        <v>214</v>
      </c>
      <c r="U222" s="130">
        <v>3.5</v>
      </c>
      <c r="V222" s="130">
        <v>3.5</v>
      </c>
    </row>
    <row r="223" spans="1:22" ht="14.5">
      <c r="A223" s="126" t="s">
        <v>216</v>
      </c>
      <c r="B223" s="127"/>
      <c r="K223" s="127">
        <v>0</v>
      </c>
      <c r="T223" s="109" t="s">
        <v>217</v>
      </c>
      <c r="U223" s="130" t="e">
        <f>U222-U221</f>
        <v>#DIV/0!</v>
      </c>
      <c r="V223" s="130" t="e">
        <f>V222-V221</f>
        <v>#DIV/0!</v>
      </c>
    </row>
    <row r="224" spans="1:22" ht="14.5">
      <c r="A224" s="131" t="s">
        <v>218</v>
      </c>
      <c r="B224" s="132"/>
      <c r="K224" s="132">
        <f>K211-K219</f>
        <v>-2775.7520965194585</v>
      </c>
      <c r="T224" s="109" t="s">
        <v>219</v>
      </c>
      <c r="U224" s="107">
        <f>U219/U222-U217</f>
        <v>50321.714285714283</v>
      </c>
      <c r="V224" s="107">
        <f>V219/V222-V217</f>
        <v>48934.571428571428</v>
      </c>
    </row>
    <row r="225" spans="1:11" ht="14.5">
      <c r="A225" s="133" t="s">
        <v>220</v>
      </c>
      <c r="B225" s="125"/>
      <c r="K225" s="125">
        <f>SUM(K226:K228)</f>
        <v>6660.0517582020475</v>
      </c>
    </row>
    <row r="226" spans="1:11" ht="14.5">
      <c r="A226" s="124" t="s">
        <v>221</v>
      </c>
      <c r="B226" s="127"/>
      <c r="K226" s="127">
        <v>5486.9068051513486</v>
      </c>
    </row>
    <row r="227" spans="1:11" ht="14.5">
      <c r="A227" s="124" t="s">
        <v>202</v>
      </c>
      <c r="B227" s="127"/>
      <c r="K227" s="127">
        <v>1173.1449530506991</v>
      </c>
    </row>
    <row r="228" spans="1:11" ht="14.5">
      <c r="A228" s="124" t="s">
        <v>222</v>
      </c>
      <c r="B228" s="127"/>
      <c r="K228" s="127">
        <v>0</v>
      </c>
    </row>
    <row r="229" spans="1:11" ht="14.5">
      <c r="A229" s="131" t="s">
        <v>2</v>
      </c>
      <c r="B229" s="132"/>
      <c r="K229" s="132">
        <f>K224-K225</f>
        <v>-9435.8038547215056</v>
      </c>
    </row>
    <row r="230" spans="1:11" ht="14.5">
      <c r="A230" s="134" t="s">
        <v>4</v>
      </c>
      <c r="B230" s="135"/>
      <c r="K230" s="135">
        <v>0.59568235249464341</v>
      </c>
    </row>
    <row r="231" spans="1:11" ht="14.5">
      <c r="A231" s="134"/>
      <c r="B231" s="136"/>
      <c r="K231" s="136"/>
    </row>
    <row r="232" spans="1:11" ht="14.5">
      <c r="A232" s="137" t="s">
        <v>52</v>
      </c>
      <c r="B232" s="125"/>
      <c r="K232" s="125">
        <f>K233+K234</f>
        <v>10552.775973267757</v>
      </c>
    </row>
    <row r="233" spans="1:11" ht="14.5">
      <c r="A233" s="138" t="s">
        <v>223</v>
      </c>
      <c r="B233" s="139"/>
      <c r="K233" s="139">
        <v>5708.2018461197977</v>
      </c>
    </row>
    <row r="234" spans="1:11" ht="14.5">
      <c r="A234" s="138" t="s">
        <v>224</v>
      </c>
      <c r="B234" s="125"/>
      <c r="K234" s="125">
        <v>4844.5741271479592</v>
      </c>
    </row>
    <row r="235" spans="1:11" ht="14.5">
      <c r="A235" s="137" t="s">
        <v>225</v>
      </c>
      <c r="B235" s="125"/>
      <c r="K235" s="125">
        <f>SUM(K236:K238)</f>
        <v>2530.7577717723161</v>
      </c>
    </row>
    <row r="236" spans="1:11" ht="14.5">
      <c r="A236" s="123" t="s">
        <v>225</v>
      </c>
      <c r="B236" s="125"/>
      <c r="K236" s="125">
        <v>1973.1285357426675</v>
      </c>
    </row>
    <row r="237" spans="1:11" ht="14.5">
      <c r="A237" s="123" t="s">
        <v>3</v>
      </c>
      <c r="B237" s="140"/>
      <c r="K237" s="140">
        <v>201.02146102964883</v>
      </c>
    </row>
    <row r="238" spans="1:11" ht="14.5">
      <c r="A238" s="123" t="s">
        <v>226</v>
      </c>
      <c r="B238" s="141"/>
      <c r="K238" s="141">
        <v>356.607775</v>
      </c>
    </row>
    <row r="239" spans="1:11" ht="14.5">
      <c r="A239" s="137" t="s">
        <v>227</v>
      </c>
      <c r="B239" s="125"/>
      <c r="K239" s="125">
        <f>K240-K241+K242-K243</f>
        <v>-218.33333333333334</v>
      </c>
    </row>
    <row r="240" spans="1:11" ht="14.5">
      <c r="A240" s="123" t="s">
        <v>228</v>
      </c>
      <c r="B240" s="141"/>
      <c r="K240" s="141">
        <v>40</v>
      </c>
    </row>
    <row r="241" spans="1:11" ht="14.5">
      <c r="A241" s="123" t="s">
        <v>229</v>
      </c>
      <c r="B241" s="140"/>
      <c r="K241" s="140">
        <v>250</v>
      </c>
    </row>
    <row r="242" spans="1:11" ht="14.5">
      <c r="A242" s="138" t="s">
        <v>230</v>
      </c>
      <c r="B242" s="127"/>
      <c r="K242" s="127">
        <v>-8.3333333333333339</v>
      </c>
    </row>
    <row r="243" spans="1:11" ht="14.5">
      <c r="A243" s="123" t="s">
        <v>231</v>
      </c>
      <c r="B243" s="142"/>
      <c r="K243" s="142">
        <v>0</v>
      </c>
    </row>
    <row r="244" spans="1:11" ht="14.5">
      <c r="A244" s="137" t="s">
        <v>232</v>
      </c>
      <c r="B244" s="125"/>
      <c r="K244" s="125">
        <f>SUM(K245:K247)</f>
        <v>-1667.3769621482606</v>
      </c>
    </row>
    <row r="245" spans="1:11" ht="14.5">
      <c r="A245" s="123" t="s">
        <v>233</v>
      </c>
      <c r="B245" s="140"/>
      <c r="K245" s="140">
        <v>140.84719683872652</v>
      </c>
    </row>
    <row r="246" spans="1:11" ht="14.5">
      <c r="A246" s="123" t="s">
        <v>234</v>
      </c>
      <c r="B246" s="140"/>
      <c r="K246" s="140">
        <v>-666.72890933849135</v>
      </c>
    </row>
    <row r="247" spans="1:11" ht="14.5">
      <c r="A247" s="138" t="s">
        <v>235</v>
      </c>
      <c r="B247" s="140"/>
      <c r="K247" s="140">
        <v>-1141.4952496484957</v>
      </c>
    </row>
    <row r="248" spans="1:11" ht="14.5">
      <c r="A248" s="137" t="s">
        <v>236</v>
      </c>
      <c r="B248" s="127"/>
      <c r="K248" s="127">
        <v>-796.97317125585778</v>
      </c>
    </row>
    <row r="249" spans="1:11" ht="14.5">
      <c r="A249" s="137" t="s">
        <v>237</v>
      </c>
      <c r="B249" s="127"/>
      <c r="K249" s="127">
        <v>-2348.0360527856596</v>
      </c>
    </row>
    <row r="250" spans="1:11" ht="14.5">
      <c r="A250" s="137" t="s">
        <v>238</v>
      </c>
      <c r="B250" s="143"/>
      <c r="K250" s="143">
        <v>692.39995327335271</v>
      </c>
    </row>
    <row r="251" spans="1:11" ht="14.5">
      <c r="A251" s="144" t="s">
        <v>239</v>
      </c>
      <c r="B251" s="132"/>
      <c r="K251" s="132">
        <f>K229-K232-K235+K239-K244-K248-K249-K250</f>
        <v>-18617.684700178488</v>
      </c>
    </row>
    <row r="252" spans="1:11" ht="14.5">
      <c r="A252" s="145" t="s">
        <v>7</v>
      </c>
      <c r="B252" s="146"/>
      <c r="K252" s="146">
        <f>K251/K224</f>
        <v>6.7072577279229568</v>
      </c>
    </row>
    <row r="253" spans="1:11" ht="15" thickBot="1">
      <c r="A253" s="145"/>
      <c r="B253" s="136"/>
      <c r="K253" s="136"/>
    </row>
    <row r="254" spans="1:11" ht="14.5">
      <c r="A254" s="147" t="s">
        <v>240</v>
      </c>
      <c r="B254" s="148"/>
      <c r="K254" s="148"/>
    </row>
    <row r="255" spans="1:11" ht="14.5">
      <c r="A255" s="138" t="s">
        <v>241</v>
      </c>
      <c r="B255" s="127"/>
      <c r="K255" s="127">
        <v>927.06666666666672</v>
      </c>
    </row>
    <row r="256" spans="1:11" ht="14.5">
      <c r="A256" s="138" t="s">
        <v>242</v>
      </c>
      <c r="B256" s="127"/>
      <c r="K256" s="127">
        <v>0</v>
      </c>
    </row>
    <row r="257" spans="1:11" ht="14.5">
      <c r="A257" s="138" t="s">
        <v>243</v>
      </c>
      <c r="B257" s="149"/>
      <c r="K257" s="149">
        <v>0</v>
      </c>
    </row>
    <row r="258" spans="1:11" ht="14.5">
      <c r="A258" s="144" t="s">
        <v>244</v>
      </c>
      <c r="B258" s="132"/>
      <c r="K258" s="132">
        <f>K251+SUM(K255:K257)</f>
        <v>-17690.618033511822</v>
      </c>
    </row>
    <row r="259" spans="1:11" ht="14.5">
      <c r="A259" s="150" t="s">
        <v>6</v>
      </c>
      <c r="B259" s="146"/>
      <c r="K259" s="146">
        <f>K258/K224</f>
        <v>6.3732701690811124</v>
      </c>
    </row>
    <row r="260" spans="1:11" ht="14.5">
      <c r="A260" s="151"/>
      <c r="B260" s="136"/>
      <c r="K260" s="136"/>
    </row>
    <row r="261" spans="1:11" ht="14.5">
      <c r="A261" s="138" t="s">
        <v>245</v>
      </c>
      <c r="B261" s="127"/>
      <c r="K261" s="127">
        <v>496.91821947521396</v>
      </c>
    </row>
    <row r="262" spans="1:11" ht="14.5">
      <c r="A262" s="138" t="s">
        <v>246</v>
      </c>
      <c r="B262" s="127"/>
      <c r="K262" s="127"/>
    </row>
    <row r="263" spans="1:11" ht="14.5">
      <c r="A263" s="138" t="s">
        <v>247</v>
      </c>
      <c r="B263" s="127"/>
      <c r="K263" s="127">
        <f>K244</f>
        <v>-1667.3769621482606</v>
      </c>
    </row>
    <row r="264" spans="1:11" ht="14.5">
      <c r="A264" s="138" t="s">
        <v>248</v>
      </c>
      <c r="B264" s="127"/>
      <c r="K264" s="127">
        <f>K248</f>
        <v>-796.97317125585778</v>
      </c>
    </row>
    <row r="265" spans="1:11" ht="14.5">
      <c r="A265" s="138" t="s">
        <v>249</v>
      </c>
      <c r="B265" s="127"/>
      <c r="K265" s="127">
        <f>K249</f>
        <v>-2348.0360527856596</v>
      </c>
    </row>
    <row r="266" spans="1:11" ht="14.5">
      <c r="A266" s="138" t="s">
        <v>250</v>
      </c>
      <c r="B266" s="127"/>
      <c r="K266" s="127">
        <f>K250-K255</f>
        <v>-234.66671339331401</v>
      </c>
    </row>
    <row r="267" spans="1:11" ht="14.5">
      <c r="A267" s="144" t="s">
        <v>251</v>
      </c>
      <c r="B267" s="132"/>
      <c r="K267" s="132">
        <f>K258+SUM(K261:K266)</f>
        <v>-22240.752713619702</v>
      </c>
    </row>
    <row r="268" spans="1:11" ht="14.5">
      <c r="A268" s="150" t="s">
        <v>5</v>
      </c>
      <c r="B268" s="146"/>
      <c r="K268" s="146">
        <f>K267/K224</f>
        <v>8.0125140647493662</v>
      </c>
    </row>
    <row r="269" spans="1:11" ht="14.5">
      <c r="A269" s="151"/>
      <c r="B269" s="136"/>
      <c r="K269" s="136"/>
    </row>
    <row r="270" spans="1:11" ht="14.5">
      <c r="A270" s="138" t="s">
        <v>252</v>
      </c>
      <c r="B270" s="127"/>
      <c r="K270" s="127">
        <f>-K247</f>
        <v>1141.4952496484957</v>
      </c>
    </row>
    <row r="271" spans="1:11" ht="14.5">
      <c r="A271" s="138" t="s">
        <v>253</v>
      </c>
      <c r="B271" s="127"/>
      <c r="K271" s="127">
        <f>K216+K218-K222+K247</f>
        <v>-1217.2942009670051</v>
      </c>
    </row>
    <row r="272" spans="1:11" ht="14.5">
      <c r="A272" s="144" t="s">
        <v>254</v>
      </c>
      <c r="B272" s="132"/>
      <c r="K272" s="132">
        <f>K267+SUM(K270:K271)</f>
        <v>-22316.551664938212</v>
      </c>
    </row>
    <row r="273" spans="1:11" ht="14.5">
      <c r="A273" s="150" t="s">
        <v>255</v>
      </c>
      <c r="B273" s="146"/>
      <c r="K273" s="146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O57"/>
  <sheetViews>
    <sheetView showGridLines="0" tabSelected="1" zoomScaleNormal="100" workbookViewId="0">
      <pane xSplit="2" ySplit="2" topLeftCell="R42" activePane="bottomRight" state="frozen"/>
      <selection activeCell="AE9" sqref="AE9"/>
      <selection pane="topRight" activeCell="AE9" sqref="AE9"/>
      <selection pane="bottomLeft" activeCell="AE9" sqref="AE9"/>
      <selection pane="bottomRight" activeCell="S42" sqref="S42"/>
    </sheetView>
  </sheetViews>
  <sheetFormatPr defaultColWidth="9.08984375" defaultRowHeight="14.5" outlineLevelCol="1"/>
  <cols>
    <col min="1" max="1" width="41.54296875" style="4" bestFit="1" customWidth="1"/>
    <col min="2" max="2" width="14.90625" style="4" hidden="1" customWidth="1"/>
    <col min="3" max="3" width="11.453125" style="4" hidden="1" customWidth="1" outlineLevel="1"/>
    <col min="4" max="4" width="10.90625" style="4" hidden="1" customWidth="1" outlineLevel="1"/>
    <col min="5" max="5" width="11.90625" style="4" hidden="1" customWidth="1" outlineLevel="1"/>
    <col min="6" max="6" width="11" style="4" hidden="1" customWidth="1" outlineLevel="1"/>
    <col min="7" max="7" width="11.08984375" style="4" hidden="1" customWidth="1" outlineLevel="1"/>
    <col min="8" max="8" width="11.453125" style="4" hidden="1" customWidth="1" outlineLevel="1"/>
    <col min="9" max="10" width="11.08984375" style="4" hidden="1" customWidth="1" outlineLevel="1"/>
    <col min="11" max="11" width="11.54296875" style="4" hidden="1" customWidth="1" outlineLevel="1"/>
    <col min="12" max="17" width="11.08984375" style="4" hidden="1" customWidth="1" outlineLevel="1"/>
    <col min="18" max="18" width="9.54296875" style="28" customWidth="1" collapsed="1"/>
    <col min="19" max="19" width="10.08984375" style="28" customWidth="1"/>
    <col min="20" max="20" width="10.90625" style="63" customWidth="1"/>
    <col min="21" max="21" width="13" style="63" customWidth="1"/>
    <col min="22" max="22" width="8.90625" hidden="1" customWidth="1"/>
    <col min="23" max="23" width="9.08984375" hidden="1" customWidth="1"/>
    <col min="24" max="24" width="11" style="63" hidden="1" customWidth="1"/>
    <col min="25" max="25" width="10.54296875" style="64" hidden="1" customWidth="1"/>
    <col min="26" max="26" width="8.90625" hidden="1" customWidth="1"/>
    <col min="27" max="27" width="9.08984375" hidden="1" customWidth="1"/>
    <col min="28" max="28" width="11" style="63" hidden="1" customWidth="1"/>
    <col min="29" max="29" width="10.54296875" style="64" hidden="1" customWidth="1"/>
    <col min="30" max="30" width="8.90625" hidden="1" customWidth="1"/>
    <col min="31" max="31" width="9.08984375" hidden="1" customWidth="1"/>
    <col min="32" max="32" width="11" style="63" hidden="1" customWidth="1"/>
    <col min="33" max="33" width="10.54296875" style="64" hidden="1" customWidth="1"/>
    <col min="34" max="34" width="9.54296875" style="64" customWidth="1"/>
    <col min="35" max="35" width="11" style="64" customWidth="1"/>
    <col min="36" max="36" width="12.90625" style="63" customWidth="1"/>
    <col min="37" max="37" width="10.54296875" style="64" customWidth="1"/>
    <col min="38" max="38" width="11.7265625" customWidth="1"/>
    <col min="39" max="39" width="14.90625" bestFit="1" customWidth="1"/>
    <col min="41" max="41" width="11.453125" bestFit="1" customWidth="1"/>
  </cols>
  <sheetData>
    <row r="1" spans="1:41" ht="92.25" customHeight="1" thickBot="1"/>
    <row r="2" spans="1:41" ht="15.75" customHeight="1" thickBot="1">
      <c r="A2" s="320" t="s">
        <v>319</v>
      </c>
      <c r="B2" s="321"/>
      <c r="C2" s="352">
        <v>2011</v>
      </c>
      <c r="D2" s="352">
        <v>2012</v>
      </c>
      <c r="E2" s="352">
        <v>2013</v>
      </c>
      <c r="F2" s="352">
        <v>2014</v>
      </c>
      <c r="G2" s="352">
        <v>2015</v>
      </c>
      <c r="H2" s="352">
        <v>2016</v>
      </c>
      <c r="I2" s="352">
        <v>2017</v>
      </c>
      <c r="J2" s="352">
        <v>2018</v>
      </c>
      <c r="K2" s="352">
        <v>2019</v>
      </c>
      <c r="L2" s="352">
        <v>2020</v>
      </c>
      <c r="M2" s="352">
        <v>2021</v>
      </c>
      <c r="N2" s="352">
        <v>2022</v>
      </c>
      <c r="O2" s="352">
        <v>2023</v>
      </c>
      <c r="P2" s="352">
        <v>2024</v>
      </c>
      <c r="Q2" s="352">
        <v>2025</v>
      </c>
      <c r="R2" s="1" t="s">
        <v>535</v>
      </c>
      <c r="S2" s="1" t="s">
        <v>540</v>
      </c>
      <c r="T2" s="84" t="s">
        <v>0</v>
      </c>
      <c r="U2" s="85" t="s">
        <v>1</v>
      </c>
      <c r="V2" s="1" t="s">
        <v>536</v>
      </c>
      <c r="W2" s="1" t="s">
        <v>541</v>
      </c>
      <c r="X2" s="84" t="s">
        <v>0</v>
      </c>
      <c r="Y2" s="85" t="s">
        <v>1</v>
      </c>
      <c r="Z2" s="1" t="s">
        <v>537</v>
      </c>
      <c r="AA2" s="1" t="s">
        <v>542</v>
      </c>
      <c r="AB2" s="84" t="s">
        <v>0</v>
      </c>
      <c r="AC2" s="85" t="s">
        <v>1</v>
      </c>
      <c r="AD2" s="1" t="s">
        <v>538</v>
      </c>
      <c r="AE2" s="1" t="s">
        <v>543</v>
      </c>
      <c r="AF2" s="84" t="s">
        <v>0</v>
      </c>
      <c r="AG2" s="85" t="s">
        <v>1</v>
      </c>
      <c r="AH2" s="1">
        <v>2025</v>
      </c>
      <c r="AI2" s="1">
        <v>2026</v>
      </c>
      <c r="AJ2" s="84" t="s">
        <v>0</v>
      </c>
      <c r="AK2" s="85" t="s">
        <v>1</v>
      </c>
    </row>
    <row r="3" spans="1:41" ht="15.75" customHeight="1">
      <c r="A3" s="322" t="s">
        <v>463</v>
      </c>
      <c r="B3" s="306"/>
      <c r="C3" s="353">
        <v>319857</v>
      </c>
      <c r="D3" s="354">
        <v>377133</v>
      </c>
      <c r="E3" s="354">
        <v>522864.00000000006</v>
      </c>
      <c r="F3" s="355">
        <v>501556</v>
      </c>
      <c r="G3" s="355">
        <v>491434</v>
      </c>
      <c r="H3" s="356">
        <v>443621.99999999994</v>
      </c>
      <c r="I3" s="355">
        <v>412361</v>
      </c>
      <c r="J3" s="355">
        <v>363499.73664000002</v>
      </c>
      <c r="K3" s="355">
        <v>378366.44312000007</v>
      </c>
      <c r="L3" s="355">
        <v>285105.17800999974</v>
      </c>
      <c r="M3" s="376">
        <v>350920.30887999985</v>
      </c>
      <c r="N3" s="376">
        <v>400492.21608000016</v>
      </c>
      <c r="O3" s="376">
        <v>395830.8989400001</v>
      </c>
      <c r="P3" s="376">
        <v>464305.99811000022</v>
      </c>
      <c r="Q3" s="376">
        <v>562838.6174499999</v>
      </c>
      <c r="R3" s="22">
        <v>101709.90540000009</v>
      </c>
      <c r="S3" s="22">
        <v>107282.35002</v>
      </c>
      <c r="T3" s="53">
        <f>IFERROR(S3/R3-1,0)</f>
        <v>5.4787629563559648E-2</v>
      </c>
      <c r="U3" s="54">
        <f>S3-R3</f>
        <v>5572.4446199999074</v>
      </c>
      <c r="V3" s="22">
        <v>142959.81141000046</v>
      </c>
      <c r="W3" s="22"/>
      <c r="X3" s="53">
        <f>IFERROR(W3/V3-1,0)</f>
        <v>-1</v>
      </c>
      <c r="Y3" s="54">
        <f>W3-V3</f>
        <v>-142959.81141000046</v>
      </c>
      <c r="Z3" s="22">
        <v>127043.65335999918</v>
      </c>
      <c r="AA3" s="22"/>
      <c r="AB3" s="53">
        <f>AA3/Z3-1</f>
        <v>-1</v>
      </c>
      <c r="AC3" s="90">
        <f>AA3-Z3</f>
        <v>-127043.65335999918</v>
      </c>
      <c r="AD3" s="22">
        <v>191125.24728000019</v>
      </c>
      <c r="AE3" s="22"/>
      <c r="AF3" s="53">
        <f>AE3/AD3-1</f>
        <v>-1</v>
      </c>
      <c r="AG3" s="90">
        <f>AE3-AD3</f>
        <v>-191125.24728000019</v>
      </c>
      <c r="AH3" s="22">
        <f>R3</f>
        <v>101709.90540000009</v>
      </c>
      <c r="AI3" s="22">
        <f>S3</f>
        <v>107282.35002</v>
      </c>
      <c r="AJ3" s="53">
        <f>IFERROR(AI3/AH3-1,0)</f>
        <v>5.4787629563559648E-2</v>
      </c>
      <c r="AK3" s="90">
        <f>AI3-AH3</f>
        <v>5572.4446199999074</v>
      </c>
    </row>
    <row r="4" spans="1:41" ht="15.75" customHeight="1">
      <c r="A4" s="324" t="s">
        <v>464</v>
      </c>
      <c r="B4" s="324"/>
      <c r="C4" s="357">
        <v>-11633</v>
      </c>
      <c r="D4" s="357">
        <v>-9958.2513770875557</v>
      </c>
      <c r="E4" s="357">
        <v>-14437.999999999904</v>
      </c>
      <c r="F4" s="22">
        <v>-17795</v>
      </c>
      <c r="G4" s="22">
        <v>-22046</v>
      </c>
      <c r="H4" s="357">
        <v>-19637.999999999996</v>
      </c>
      <c r="I4" s="22">
        <v>-12442.999999999998</v>
      </c>
      <c r="J4" s="22">
        <v>-7305</v>
      </c>
      <c r="K4" s="22">
        <v>-7481.9999999999991</v>
      </c>
      <c r="L4" s="22">
        <v>-4070.1846299999902</v>
      </c>
      <c r="M4" s="22">
        <v>-5877.2233299999998</v>
      </c>
      <c r="N4" s="22">
        <v>-14678.83246</v>
      </c>
      <c r="O4" s="22">
        <v>-15562.611319999996</v>
      </c>
      <c r="P4" s="22">
        <v>-15601.996949999961</v>
      </c>
      <c r="Q4" s="22">
        <v>-25007.17484</v>
      </c>
      <c r="R4" s="22">
        <v>-4130.0273100000013</v>
      </c>
      <c r="S4" s="22">
        <v>-5062.8143100000016</v>
      </c>
      <c r="T4" s="55">
        <f t="shared" ref="T4:T6" si="0">IFERROR(S4/R4-1,0)</f>
        <v>0.22585492297870546</v>
      </c>
      <c r="U4" s="56">
        <f>S4-R4</f>
        <v>-932.78700000000026</v>
      </c>
      <c r="V4" s="22">
        <v>-6107.9599799999987</v>
      </c>
      <c r="W4" s="22"/>
      <c r="X4" s="55">
        <f t="shared" ref="X4:X6" si="1">IFERROR(W4/V4-1,0)</f>
        <v>-1</v>
      </c>
      <c r="Y4" s="56">
        <f>W4-V4</f>
        <v>6107.9599799999987</v>
      </c>
      <c r="Z4" s="22">
        <v>-5627.4092299999993</v>
      </c>
      <c r="AA4" s="22"/>
      <c r="AB4" s="55">
        <f>AA4/Z4-1</f>
        <v>-1</v>
      </c>
      <c r="AC4" s="89">
        <f>AA4-Z4</f>
        <v>5627.4092299999993</v>
      </c>
      <c r="AD4" s="22">
        <v>-9141.7783199999994</v>
      </c>
      <c r="AE4" s="22"/>
      <c r="AF4" s="55">
        <f>AE4/AD4-1</f>
        <v>-1</v>
      </c>
      <c r="AG4" s="89">
        <f>AE4-AD4</f>
        <v>9141.7783199999994</v>
      </c>
      <c r="AH4" s="22">
        <f t="shared" ref="AH4:AH6" si="2">R4</f>
        <v>-4130.0273100000013</v>
      </c>
      <c r="AI4" s="22">
        <f t="shared" ref="AI4:AI6" si="3">S4</f>
        <v>-5062.8143100000016</v>
      </c>
      <c r="AJ4" s="55">
        <f t="shared" ref="AJ4:AJ6" si="4">IFERROR(AI4/AH4-1,0)</f>
        <v>0.22585492297870546</v>
      </c>
      <c r="AK4" s="89">
        <f>AI4-AH4</f>
        <v>-932.78700000000026</v>
      </c>
    </row>
    <row r="5" spans="1:41" ht="15.75" customHeight="1">
      <c r="A5" s="323" t="s">
        <v>465</v>
      </c>
      <c r="B5" s="324"/>
      <c r="C5" s="356">
        <v>-47935</v>
      </c>
      <c r="D5" s="356">
        <v>-55935.611050000007</v>
      </c>
      <c r="E5" s="356">
        <v>-76839</v>
      </c>
      <c r="F5" s="355">
        <v>-72963</v>
      </c>
      <c r="G5" s="355">
        <v>-75586</v>
      </c>
      <c r="H5" s="356">
        <v>-65951.316800000001</v>
      </c>
      <c r="I5" s="355">
        <v>-61605</v>
      </c>
      <c r="J5" s="355">
        <v>-51514.476329999998</v>
      </c>
      <c r="K5" s="355">
        <v>-55731.880619999996</v>
      </c>
      <c r="L5" s="355">
        <v>-36955.979920000027</v>
      </c>
      <c r="M5" s="355">
        <v>-31144.227900000031</v>
      </c>
      <c r="N5" s="355">
        <v>-35852.520007156549</v>
      </c>
      <c r="O5" s="355">
        <v>-39207.958490926401</v>
      </c>
      <c r="P5" s="355">
        <v>-49932.785479999962</v>
      </c>
      <c r="Q5" s="355">
        <v>-61829.033099999782</v>
      </c>
      <c r="R5" s="22">
        <v>-11309.893989999911</v>
      </c>
      <c r="S5" s="22">
        <v>-11463.53349</v>
      </c>
      <c r="T5" s="55">
        <f t="shared" si="0"/>
        <v>1.3584521670666039E-2</v>
      </c>
      <c r="U5" s="89">
        <f>S5-R5</f>
        <v>-153.63950000008845</v>
      </c>
      <c r="V5" s="22">
        <v>-15529.198859999906</v>
      </c>
      <c r="W5" s="22"/>
      <c r="X5" s="55">
        <f t="shared" si="1"/>
        <v>-1</v>
      </c>
      <c r="Y5" s="89">
        <f>W5-V5</f>
        <v>15529.198859999906</v>
      </c>
      <c r="Z5" s="22">
        <v>-14133.624300000029</v>
      </c>
      <c r="AA5" s="22"/>
      <c r="AB5" s="60">
        <f>AA5/Z5-1</f>
        <v>-1</v>
      </c>
      <c r="AC5" s="89">
        <f>AA5-Z5</f>
        <v>14133.624300000029</v>
      </c>
      <c r="AD5" s="22">
        <v>-20856.315949999931</v>
      </c>
      <c r="AE5" s="22"/>
      <c r="AF5" s="60">
        <f>AE5/AD5-1</f>
        <v>-1</v>
      </c>
      <c r="AG5" s="89">
        <f>AE5-AD5</f>
        <v>20856.315949999931</v>
      </c>
      <c r="AH5" s="22">
        <f t="shared" si="2"/>
        <v>-11309.893989999911</v>
      </c>
      <c r="AI5" s="22">
        <f t="shared" si="3"/>
        <v>-11463.53349</v>
      </c>
      <c r="AJ5" s="60">
        <f t="shared" si="4"/>
        <v>1.3584521670666039E-2</v>
      </c>
      <c r="AK5" s="89">
        <f>AI5-AH5</f>
        <v>-153.63950000008845</v>
      </c>
    </row>
    <row r="6" spans="1:41" ht="15.75" customHeight="1">
      <c r="A6" s="324" t="s">
        <v>466</v>
      </c>
      <c r="B6" s="324"/>
      <c r="C6" s="357">
        <v>1741</v>
      </c>
      <c r="D6" s="358">
        <v>1476</v>
      </c>
      <c r="E6" s="358">
        <v>2108.8207414252761</v>
      </c>
      <c r="F6" s="22">
        <v>2635</v>
      </c>
      <c r="G6" s="22">
        <v>3491</v>
      </c>
      <c r="H6" s="358">
        <v>2840.2909403039739</v>
      </c>
      <c r="I6" s="22">
        <v>1763</v>
      </c>
      <c r="J6" s="22">
        <v>1015.9153952451331</v>
      </c>
      <c r="K6" s="22">
        <v>1073.7133717070067</v>
      </c>
      <c r="L6" s="22">
        <v>528.36904886796685</v>
      </c>
      <c r="M6" s="22">
        <v>502.82026416959491</v>
      </c>
      <c r="N6" s="22">
        <v>1270.7352007543432</v>
      </c>
      <c r="O6" s="22">
        <v>1286.468590999018</v>
      </c>
      <c r="P6" s="22">
        <v>1508.7962626366023</v>
      </c>
      <c r="Q6" s="22">
        <v>2420.1758648556793</v>
      </c>
      <c r="R6" s="22">
        <v>410.75303554445202</v>
      </c>
      <c r="S6" s="22">
        <v>492.44617717937956</v>
      </c>
      <c r="T6" s="55">
        <f t="shared" si="0"/>
        <v>0.19888627609688503</v>
      </c>
      <c r="U6" s="89">
        <f>S6-R6</f>
        <v>81.693141634927542</v>
      </c>
      <c r="V6" s="22">
        <v>590.59385057222562</v>
      </c>
      <c r="W6" s="22"/>
      <c r="X6" s="55">
        <f t="shared" si="1"/>
        <v>-1</v>
      </c>
      <c r="Y6" s="89">
        <f>W6-V6</f>
        <v>-590.59385057222562</v>
      </c>
      <c r="Z6" s="22">
        <v>546.17593972096006</v>
      </c>
      <c r="AA6" s="22"/>
      <c r="AB6" s="55">
        <f>AA6/Z6-1</f>
        <v>-1</v>
      </c>
      <c r="AC6" s="89">
        <f>AA6-Z6</f>
        <v>-546.17593972096006</v>
      </c>
      <c r="AD6" s="22">
        <v>872.65303901804145</v>
      </c>
      <c r="AE6" s="22"/>
      <c r="AF6" s="55">
        <f>AE6/AD6-1</f>
        <v>-1</v>
      </c>
      <c r="AG6" s="89">
        <f>AE6-AD6</f>
        <v>-872.65303901804145</v>
      </c>
      <c r="AH6" s="22">
        <f t="shared" si="2"/>
        <v>410.75303554445202</v>
      </c>
      <c r="AI6" s="22">
        <f t="shared" si="3"/>
        <v>492.44617717937956</v>
      </c>
      <c r="AJ6" s="55">
        <f t="shared" si="4"/>
        <v>0.19888627609688503</v>
      </c>
      <c r="AK6" s="89">
        <f>AI6-AH6</f>
        <v>81.693141634927542</v>
      </c>
    </row>
    <row r="7" spans="1:41" ht="15.75" customHeight="1">
      <c r="A7" s="323"/>
      <c r="B7" s="324"/>
      <c r="C7" s="359"/>
      <c r="D7" s="358"/>
      <c r="E7" s="358"/>
      <c r="F7" s="360"/>
      <c r="G7" s="360"/>
      <c r="H7" s="358"/>
      <c r="I7" s="360"/>
      <c r="J7" s="360"/>
      <c r="K7" s="25"/>
      <c r="L7" s="25"/>
      <c r="M7" s="25"/>
      <c r="N7" s="25"/>
      <c r="O7" s="25"/>
      <c r="P7" s="25"/>
      <c r="Q7" s="25"/>
      <c r="R7" s="25"/>
      <c r="S7" s="25"/>
      <c r="T7" s="57"/>
      <c r="U7" s="56"/>
      <c r="V7" s="22"/>
      <c r="W7" s="22"/>
      <c r="X7" s="57"/>
      <c r="Y7" s="56"/>
      <c r="Z7" s="22"/>
      <c r="AA7" s="22"/>
      <c r="AB7" s="57"/>
      <c r="AC7" s="56"/>
      <c r="AD7" s="22"/>
      <c r="AE7" s="22"/>
      <c r="AF7" s="57"/>
      <c r="AG7" s="56"/>
      <c r="AH7" s="23"/>
      <c r="AI7" s="23"/>
      <c r="AJ7" s="57"/>
      <c r="AK7" s="56"/>
    </row>
    <row r="8" spans="1:41" ht="15.75" customHeight="1">
      <c r="A8" s="307" t="s">
        <v>467</v>
      </c>
      <c r="B8" s="308"/>
      <c r="C8" s="361">
        <f>SUM(C3:C6)</f>
        <v>262030</v>
      </c>
      <c r="D8" s="361">
        <f t="shared" ref="D8:L8" si="5">SUM(D3:D6)</f>
        <v>312715.13757291244</v>
      </c>
      <c r="E8" s="361">
        <f t="shared" si="5"/>
        <v>433695.82074142544</v>
      </c>
      <c r="F8" s="361">
        <f t="shared" si="5"/>
        <v>413433</v>
      </c>
      <c r="G8" s="361">
        <f t="shared" si="5"/>
        <v>397293</v>
      </c>
      <c r="H8" s="361">
        <f t="shared" si="5"/>
        <v>360872.97414030397</v>
      </c>
      <c r="I8" s="361">
        <f t="shared" si="5"/>
        <v>340076</v>
      </c>
      <c r="J8" s="361">
        <f t="shared" si="5"/>
        <v>305696.17570524517</v>
      </c>
      <c r="K8" s="361">
        <f t="shared" si="5"/>
        <v>316226.27587170707</v>
      </c>
      <c r="L8" s="361">
        <f t="shared" si="5"/>
        <v>244607.38250886771</v>
      </c>
      <c r="M8" s="361">
        <v>314401.67791416938</v>
      </c>
      <c r="N8" s="361">
        <v>351231.17873447796</v>
      </c>
      <c r="O8" s="361">
        <v>342346.79772007267</v>
      </c>
      <c r="P8" s="361">
        <v>400280.01194263692</v>
      </c>
      <c r="Q8" s="361">
        <v>478422.58537485584</v>
      </c>
      <c r="R8" s="8">
        <f>SUM(R3:R6)</f>
        <v>86680.737135544623</v>
      </c>
      <c r="S8" s="8">
        <f>SUM(S3:S6)</f>
        <v>91248.448397179382</v>
      </c>
      <c r="T8" s="58">
        <f>IFERROR(S8/R8-1,0)</f>
        <v>5.2695805464738177E-2</v>
      </c>
      <c r="U8" s="59">
        <f>S8-R8</f>
        <v>4567.7112616347586</v>
      </c>
      <c r="V8" s="8">
        <v>121913.2464205728</v>
      </c>
      <c r="W8" s="8"/>
      <c r="X8" s="58">
        <f>IFERROR(W8/V8-1,0)</f>
        <v>-1</v>
      </c>
      <c r="Y8" s="59">
        <f>W8-V8</f>
        <v>-121913.2464205728</v>
      </c>
      <c r="Z8" s="8">
        <v>107828.79576972011</v>
      </c>
      <c r="AA8" s="8"/>
      <c r="AB8" s="58">
        <f>IFERROR(AA8/Z8-1,0)</f>
        <v>-1</v>
      </c>
      <c r="AC8" s="88">
        <f>AA8-Z8</f>
        <v>-107828.79576972011</v>
      </c>
      <c r="AD8" s="8">
        <v>161999.80604901828</v>
      </c>
      <c r="AE8" s="8"/>
      <c r="AF8" s="58">
        <f>IFERROR(AE8/AD8-1,0)</f>
        <v>-1</v>
      </c>
      <c r="AG8" s="88">
        <f>AE8-AD8</f>
        <v>-161999.80604901828</v>
      </c>
      <c r="AH8" s="8">
        <f>SUM(AH3:AH6)</f>
        <v>86680.737135544623</v>
      </c>
      <c r="AI8" s="8">
        <f>SUM(AI3:AI6)</f>
        <v>91248.448397179382</v>
      </c>
      <c r="AJ8" s="58">
        <f>IFERROR(AI8/AH8-1,0)</f>
        <v>5.2695805464738177E-2</v>
      </c>
      <c r="AK8" s="88">
        <f>AI8-AH8</f>
        <v>4567.7112616347586</v>
      </c>
    </row>
    <row r="9" spans="1:41" ht="15.75" customHeight="1">
      <c r="A9" s="323"/>
      <c r="B9" s="324"/>
      <c r="C9" s="358"/>
      <c r="D9" s="358"/>
      <c r="E9" s="358"/>
      <c r="F9" s="360"/>
      <c r="G9" s="360"/>
      <c r="H9" s="358"/>
      <c r="I9" s="22"/>
      <c r="J9" s="22"/>
      <c r="K9" s="22"/>
      <c r="L9" s="22"/>
      <c r="M9" s="22">
        <v>-149226</v>
      </c>
      <c r="N9" s="22">
        <v>-160681.56247817609</v>
      </c>
      <c r="O9" s="22">
        <v>-152966.6</v>
      </c>
      <c r="P9" s="22">
        <v>-181429</v>
      </c>
      <c r="Q9" s="22">
        <v>-216758</v>
      </c>
      <c r="R9" s="22">
        <v>-40382.507390318206</v>
      </c>
      <c r="S9" s="22">
        <v>-42313.961213727998</v>
      </c>
      <c r="T9" s="55"/>
      <c r="U9" s="89"/>
      <c r="V9" s="22">
        <v>-53984.994090898603</v>
      </c>
      <c r="W9" s="22"/>
      <c r="X9" s="55"/>
      <c r="Y9" s="89"/>
      <c r="Z9" s="22">
        <f>-48754.9350319047+1</f>
        <v>-48753.935031904701</v>
      </c>
      <c r="AA9" s="22"/>
      <c r="AB9" s="57"/>
      <c r="AC9" s="56"/>
      <c r="AD9" s="388">
        <v>-73636.563486878498</v>
      </c>
      <c r="AE9" s="388"/>
      <c r="AF9" s="57"/>
      <c r="AG9" s="56">
        <f>AE9-AD9</f>
        <v>73636.563486878498</v>
      </c>
      <c r="AH9" s="22">
        <f>R9</f>
        <v>-40382.507390318206</v>
      </c>
      <c r="AI9" s="22">
        <f t="shared" ref="AI9" si="6">S9</f>
        <v>-42313.961213727998</v>
      </c>
      <c r="AJ9" s="57"/>
      <c r="AK9" s="56"/>
    </row>
    <row r="10" spans="1:41" ht="15.75" customHeight="1">
      <c r="A10" s="307" t="s">
        <v>2</v>
      </c>
      <c r="B10" s="308"/>
      <c r="C10" s="362">
        <v>166166</v>
      </c>
      <c r="D10" s="362">
        <v>187928</v>
      </c>
      <c r="E10" s="362">
        <v>250774</v>
      </c>
      <c r="F10" s="8">
        <v>229802</v>
      </c>
      <c r="G10" s="8">
        <v>206778</v>
      </c>
      <c r="H10" s="362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218851</v>
      </c>
      <c r="Q10" s="8">
        <v>261664.58537485584</v>
      </c>
      <c r="R10" s="8">
        <f>R8+R9</f>
        <v>46298.229745226417</v>
      </c>
      <c r="S10" s="8">
        <f>S8+S9</f>
        <v>48934.487183451383</v>
      </c>
      <c r="T10" s="58">
        <f>IFERROR(S10/R10-1,0)</f>
        <v>5.6940782676399682E-2</v>
      </c>
      <c r="U10" s="88">
        <f>S10-R10</f>
        <v>2636.2574382249659</v>
      </c>
      <c r="V10" s="8">
        <v>67928.2523296742</v>
      </c>
      <c r="W10" s="8"/>
      <c r="X10" s="58">
        <f>IFERROR(W10/V10-1,0)</f>
        <v>-1</v>
      </c>
      <c r="Y10" s="88">
        <f>W10-V10</f>
        <v>-67928.2523296742</v>
      </c>
      <c r="Z10" s="8">
        <f>SUM(Z8:Z9)</f>
        <v>59074.860737815405</v>
      </c>
      <c r="AA10" s="8">
        <f>SUM(AA8:AA9)</f>
        <v>0</v>
      </c>
      <c r="AB10" s="58">
        <f>AA10/Z10-1</f>
        <v>-1</v>
      </c>
      <c r="AC10" s="88">
        <f>AA10-Z10</f>
        <v>-59074.860737815405</v>
      </c>
      <c r="AD10" s="8">
        <f>SUM(AD8:AD9)</f>
        <v>88363.242562139785</v>
      </c>
      <c r="AE10" s="8">
        <f>SUM(AE8:AE9)</f>
        <v>0</v>
      </c>
      <c r="AF10" s="58">
        <f>AE10/AD10-1</f>
        <v>-1</v>
      </c>
      <c r="AG10" s="88">
        <f>AE10-AD10</f>
        <v>-88363.242562139785</v>
      </c>
      <c r="AH10" s="8">
        <f>SUM(AH8:AH9)</f>
        <v>46298.229745226417</v>
      </c>
      <c r="AI10" s="8">
        <f>SUM(AI8:AI9)</f>
        <v>48934.487183451383</v>
      </c>
      <c r="AJ10" s="58">
        <f>IFERROR(AI10/AH10-1,0)</f>
        <v>5.6940782676399682E-2</v>
      </c>
      <c r="AK10" s="88">
        <f>AI10-AH10</f>
        <v>2636.2574382249659</v>
      </c>
    </row>
    <row r="11" spans="1:41" ht="15.75" customHeight="1">
      <c r="A11" s="309" t="s">
        <v>4</v>
      </c>
      <c r="B11" s="309"/>
      <c r="C11" s="9">
        <f>C10/C8</f>
        <v>0.63414876159218414</v>
      </c>
      <c r="D11" s="9">
        <f t="shared" ref="D11:L11" si="7">D10/D8</f>
        <v>0.60095587779527571</v>
      </c>
      <c r="E11" s="9">
        <f t="shared" si="7"/>
        <v>0.57822553966807633</v>
      </c>
      <c r="F11" s="9">
        <f t="shared" si="7"/>
        <v>0.55583855183306607</v>
      </c>
      <c r="G11" s="9">
        <f t="shared" si="7"/>
        <v>0.52046726219691763</v>
      </c>
      <c r="H11" s="9">
        <f t="shared" si="7"/>
        <v>0.46991597124802392</v>
      </c>
      <c r="I11" s="9">
        <f t="shared" si="7"/>
        <v>0.4559951305002411</v>
      </c>
      <c r="J11" s="9">
        <f t="shared" si="7"/>
        <v>0.47975142432483103</v>
      </c>
      <c r="K11" s="9">
        <f t="shared" si="7"/>
        <v>0.3454583263166906</v>
      </c>
      <c r="L11" s="9">
        <f t="shared" si="7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0.54693192456588402</v>
      </c>
      <c r="R11" s="9">
        <f t="shared" ref="R11:S11" si="8">R10/R8</f>
        <v>0.53412362740788455</v>
      </c>
      <c r="S11" s="9">
        <f t="shared" si="8"/>
        <v>0.53627747148590443</v>
      </c>
      <c r="T11" s="9"/>
      <c r="U11" s="51">
        <f>(S11-R11)*100</f>
        <v>0.21538440780198842</v>
      </c>
      <c r="V11" s="9">
        <v>0.55718516505858007</v>
      </c>
      <c r="W11" s="9" t="e">
        <f>W10/W8</f>
        <v>#DIV/0!</v>
      </c>
      <c r="X11" s="9"/>
      <c r="Y11" s="51" t="e">
        <f>(W11-V11)*100</f>
        <v>#DIV/0!</v>
      </c>
      <c r="Z11" s="9">
        <v>0.54784865504733948</v>
      </c>
      <c r="AA11" s="9" t="e">
        <f>AA10/AA8</f>
        <v>#DIV/0!</v>
      </c>
      <c r="AB11" s="9"/>
      <c r="AC11" s="51" t="e">
        <f>(AA11-Z11)*100</f>
        <v>#DIV/0!</v>
      </c>
      <c r="AD11" s="9">
        <f>AD10/AD8</f>
        <v>0.54545276761258976</v>
      </c>
      <c r="AE11" s="9" t="e">
        <f>AE10/AE8</f>
        <v>#DIV/0!</v>
      </c>
      <c r="AF11" s="9"/>
      <c r="AG11" s="51" t="e">
        <f>(AE11-AD11)*100</f>
        <v>#DIV/0!</v>
      </c>
      <c r="AH11" s="9">
        <f>AH10/AH8</f>
        <v>0.53412362740788455</v>
      </c>
      <c r="AI11" s="9">
        <f>AI10/AI8</f>
        <v>0.53627747148590443</v>
      </c>
      <c r="AJ11" s="9"/>
      <c r="AK11" s="51">
        <f>(AI11-AH11)*100</f>
        <v>0.21538440780198842</v>
      </c>
    </row>
    <row r="12" spans="1:41">
      <c r="A12" s="323"/>
      <c r="B12" s="324"/>
      <c r="C12" s="358"/>
      <c r="D12" s="358"/>
      <c r="E12" s="358"/>
      <c r="F12" s="360"/>
      <c r="G12" s="40"/>
      <c r="H12" s="24"/>
      <c r="I12" s="360"/>
      <c r="J12" s="360"/>
      <c r="K12" s="24"/>
      <c r="L12" s="24"/>
      <c r="M12" s="24"/>
      <c r="N12" s="24"/>
      <c r="O12" s="24"/>
      <c r="P12" s="24"/>
      <c r="Q12" s="24"/>
      <c r="R12" s="24"/>
      <c r="S12" s="24"/>
      <c r="T12" s="57"/>
      <c r="U12" s="56"/>
      <c r="V12" s="22"/>
      <c r="W12" s="22"/>
      <c r="X12" s="57"/>
      <c r="Y12" s="56"/>
      <c r="Z12" s="22"/>
      <c r="AA12" s="22"/>
      <c r="AB12" s="55"/>
      <c r="AC12" s="56"/>
      <c r="AD12" s="22"/>
      <c r="AE12" s="22"/>
      <c r="AF12" s="55"/>
      <c r="AG12" s="56"/>
      <c r="AH12" s="23"/>
      <c r="AI12" s="23"/>
      <c r="AJ12" s="55"/>
      <c r="AK12" s="56"/>
      <c r="AO12" s="351"/>
    </row>
    <row r="13" spans="1:41" ht="15.75" customHeight="1">
      <c r="A13" s="307" t="s">
        <v>52</v>
      </c>
      <c r="B13" s="308"/>
      <c r="C13" s="362">
        <v>-69788</v>
      </c>
      <c r="D13" s="362">
        <v>-87861</v>
      </c>
      <c r="E13" s="362">
        <v>-132846</v>
      </c>
      <c r="F13" s="8">
        <v>-118936</v>
      </c>
      <c r="G13" s="8">
        <v>-129581</v>
      </c>
      <c r="H13" s="362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-106680</v>
      </c>
      <c r="Q13" s="8">
        <v>-125961</v>
      </c>
      <c r="R13" s="8">
        <v>-26835</v>
      </c>
      <c r="S13" s="8">
        <v>-28634</v>
      </c>
      <c r="T13" s="58">
        <f>IFERROR(S13/R13-1,0)</f>
        <v>6.7039314328302568E-2</v>
      </c>
      <c r="U13" s="88">
        <f>S13-R13</f>
        <v>-1799</v>
      </c>
      <c r="V13" s="8">
        <v>-29347</v>
      </c>
      <c r="W13" s="8"/>
      <c r="X13" s="58">
        <f>IFERROR(W13/V13-1,0)</f>
        <v>-1</v>
      </c>
      <c r="Y13" s="88">
        <f>W13-V13</f>
        <v>29347</v>
      </c>
      <c r="Z13" s="8">
        <v>-30071</v>
      </c>
      <c r="AA13" s="8"/>
      <c r="AB13" s="58">
        <f>AA13/Z13-1</f>
        <v>-1</v>
      </c>
      <c r="AC13" s="88">
        <f>AA13-Z13</f>
        <v>30071</v>
      </c>
      <c r="AD13" s="8">
        <v>-39708</v>
      </c>
      <c r="AE13" s="8">
        <f>AI13-W13-AA13-S13</f>
        <v>0</v>
      </c>
      <c r="AF13" s="58">
        <f>AE13/AD13-1</f>
        <v>-1</v>
      </c>
      <c r="AG13" s="88">
        <f>AE13-AD13</f>
        <v>39708</v>
      </c>
      <c r="AH13" s="8">
        <f>R13</f>
        <v>-26835</v>
      </c>
      <c r="AI13" s="8">
        <f>S13</f>
        <v>-28634</v>
      </c>
      <c r="AJ13" s="58">
        <f>IFERROR(AI13/AH13-1,0)</f>
        <v>6.7039314328302568E-2</v>
      </c>
      <c r="AK13" s="88">
        <f>AI13-AH13</f>
        <v>-1799</v>
      </c>
      <c r="AN13" s="379"/>
      <c r="AO13" s="378"/>
    </row>
    <row r="14" spans="1:41" ht="15.75" customHeight="1">
      <c r="A14" s="307" t="s">
        <v>468</v>
      </c>
      <c r="B14" s="308"/>
      <c r="C14" s="362"/>
      <c r="D14" s="362"/>
      <c r="E14" s="362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58">
        <f>IFERROR(S14/R14-1,0)</f>
        <v>0</v>
      </c>
      <c r="U14" s="88"/>
      <c r="V14" s="8">
        <v>0</v>
      </c>
      <c r="W14" s="8"/>
      <c r="X14" s="58">
        <f>IFERROR(W14/V14-1,0)</f>
        <v>0</v>
      </c>
      <c r="Y14" s="88"/>
      <c r="Z14" s="8">
        <v>0</v>
      </c>
      <c r="AA14" s="8"/>
      <c r="AB14" s="58" t="e">
        <f>AA14/Z14-1</f>
        <v>#DIV/0!</v>
      </c>
      <c r="AC14" s="88">
        <f>AA14-Z14</f>
        <v>0</v>
      </c>
      <c r="AD14" s="8">
        <v>0</v>
      </c>
      <c r="AE14" s="8">
        <v>0</v>
      </c>
      <c r="AF14" s="58" t="e">
        <f>AE14/AD14-1</f>
        <v>#DIV/0!</v>
      </c>
      <c r="AG14" s="88">
        <f>AE14-AD14</f>
        <v>0</v>
      </c>
      <c r="AH14" s="8">
        <f>R14+V14+Z14+AD14</f>
        <v>0</v>
      </c>
      <c r="AI14" s="8">
        <v>0</v>
      </c>
      <c r="AJ14" s="58">
        <f>IFERROR(AI14/AH14-1,0)</f>
        <v>0</v>
      </c>
      <c r="AK14" s="88"/>
      <c r="AO14" s="351"/>
    </row>
    <row r="15" spans="1:41" ht="15.75" hidden="1" customHeight="1">
      <c r="A15" s="307" t="s">
        <v>469</v>
      </c>
      <c r="B15" s="308"/>
      <c r="C15" s="362"/>
      <c r="D15" s="362"/>
      <c r="E15" s="362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/>
      <c r="S15" s="8"/>
      <c r="T15" s="58"/>
      <c r="U15" s="88"/>
      <c r="V15" s="8"/>
      <c r="W15" s="8"/>
      <c r="X15" s="58"/>
      <c r="Y15" s="88"/>
      <c r="Z15" s="8"/>
      <c r="AA15" s="8"/>
      <c r="AB15" s="58"/>
      <c r="AC15" s="88"/>
      <c r="AD15" s="8"/>
      <c r="AE15" s="8"/>
      <c r="AF15" s="58"/>
      <c r="AG15" s="88"/>
      <c r="AH15" s="8">
        <f>0</f>
        <v>0</v>
      </c>
      <c r="AI15" s="8">
        <f>0</f>
        <v>0</v>
      </c>
      <c r="AJ15" s="58"/>
      <c r="AK15" s="88"/>
      <c r="AO15" s="351"/>
    </row>
    <row r="16" spans="1:41">
      <c r="A16" s="310" t="s">
        <v>470</v>
      </c>
      <c r="B16" s="310"/>
      <c r="C16" s="365">
        <v>-0.2663359157348395</v>
      </c>
      <c r="D16" s="365">
        <v>-0.28096177461033334</v>
      </c>
      <c r="E16" s="365">
        <v>-0.30631145989115816</v>
      </c>
      <c r="F16" s="365">
        <v>-0.28767901933324136</v>
      </c>
      <c r="G16" s="365">
        <v>-0.32615978635415172</v>
      </c>
      <c r="H16" s="365">
        <v>0.34386337823057539</v>
      </c>
      <c r="I16" s="365">
        <f>I13/I8</f>
        <v>-0.39013632246909513</v>
      </c>
      <c r="J16" s="365">
        <v>-0.37142106779077982</v>
      </c>
      <c r="K16" s="365">
        <v>-0.34047592695074708</v>
      </c>
      <c r="L16" s="365">
        <v>-0.32003172435784749</v>
      </c>
      <c r="M16" s="365">
        <v>-0.22330987692491522</v>
      </c>
      <c r="N16" s="365">
        <v>-0.23979932619726793</v>
      </c>
      <c r="O16" s="365">
        <v>-0.25886907834454037</v>
      </c>
      <c r="P16" s="365">
        <v>-0.26378849949952476</v>
      </c>
      <c r="Q16" s="365">
        <v>-0.26328397498480649</v>
      </c>
      <c r="R16" s="10">
        <f>SUM(R13:R15)/R8</f>
        <v>-0.30958435388058025</v>
      </c>
      <c r="S16" s="10">
        <f>SUM(S13:S15)/S8</f>
        <v>-0.31380259613143313</v>
      </c>
      <c r="T16" s="10"/>
      <c r="U16" s="269">
        <f>(S16-R16)*100</f>
        <v>-0.42182422508528772</v>
      </c>
      <c r="V16" s="10">
        <f>SUM(V13:V15)/V8</f>
        <v>-0.24072035534809372</v>
      </c>
      <c r="W16" s="10" t="e">
        <f>SUM(W13:W15)/W8</f>
        <v>#DIV/0!</v>
      </c>
      <c r="X16" s="10"/>
      <c r="Y16" s="269" t="e">
        <f>(W16-V16)*100</f>
        <v>#DIV/0!</v>
      </c>
      <c r="Z16" s="10">
        <f>SUM(Z13:Z15)/Z8</f>
        <v>-0.27887726822267245</v>
      </c>
      <c r="AA16" s="10" t="e">
        <f>SUM(AA13:AA15)/AA8</f>
        <v>#DIV/0!</v>
      </c>
      <c r="AB16" s="10"/>
      <c r="AC16" s="269" t="e">
        <f>(AA16-Z16)*100</f>
        <v>#DIV/0!</v>
      </c>
      <c r="AD16" s="10">
        <f>SUM(AD13:AD15)/AD8</f>
        <v>-0.24511140456541694</v>
      </c>
      <c r="AE16" s="10" t="e">
        <f>SUM(AE13:AE15)/AE8</f>
        <v>#DIV/0!</v>
      </c>
      <c r="AF16" s="10"/>
      <c r="AG16" s="269" t="e">
        <f>(AE16-AD16)*100</f>
        <v>#DIV/0!</v>
      </c>
      <c r="AH16" s="10">
        <f>SUM(AH13:AH15)/AH8</f>
        <v>-0.30958435388058025</v>
      </c>
      <c r="AI16" s="10">
        <f>SUM(AI13:AI15)/AI8</f>
        <v>-0.31380259613143313</v>
      </c>
      <c r="AJ16" s="10"/>
      <c r="AK16" s="269">
        <f>(AI16-AH16)*100</f>
        <v>-0.42182422508528772</v>
      </c>
      <c r="AO16" s="351"/>
    </row>
    <row r="17" spans="1:41">
      <c r="A17" s="323"/>
      <c r="B17" s="324"/>
      <c r="C17" s="358"/>
      <c r="D17" s="358"/>
      <c r="E17" s="358"/>
      <c r="F17" s="360"/>
      <c r="G17" s="40"/>
      <c r="H17" s="24"/>
      <c r="I17" s="360"/>
      <c r="J17" s="360"/>
      <c r="K17" s="24"/>
      <c r="L17" s="24"/>
      <c r="M17" s="24"/>
      <c r="N17" s="24"/>
      <c r="O17" s="24"/>
      <c r="P17" s="24"/>
      <c r="Q17" s="24"/>
      <c r="R17" s="24"/>
      <c r="S17" s="24"/>
      <c r="T17" s="57"/>
      <c r="U17" s="56"/>
      <c r="V17" s="22"/>
      <c r="W17" s="22"/>
      <c r="X17" s="57"/>
      <c r="Y17" s="56"/>
      <c r="Z17" s="22"/>
      <c r="AA17" s="22"/>
      <c r="AB17" s="55"/>
      <c r="AC17" s="56"/>
      <c r="AD17" s="40"/>
      <c r="AE17" s="22"/>
      <c r="AF17" s="55"/>
      <c r="AG17" s="56"/>
      <c r="AH17" s="23"/>
      <c r="AI17" s="22"/>
      <c r="AJ17" s="55"/>
      <c r="AK17" s="56"/>
      <c r="AO17" s="351"/>
    </row>
    <row r="18" spans="1:41">
      <c r="A18" s="307" t="s">
        <v>471</v>
      </c>
      <c r="B18" s="308"/>
      <c r="C18" s="362">
        <v>-24415</v>
      </c>
      <c r="D18" s="362">
        <v>-27788</v>
      </c>
      <c r="E18" s="362">
        <v>-40504</v>
      </c>
      <c r="F18" s="8">
        <v>-33902</v>
      </c>
      <c r="G18" s="8">
        <v>-36416</v>
      </c>
      <c r="H18" s="362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-39405</v>
      </c>
      <c r="Q18" s="8">
        <v>-41102</v>
      </c>
      <c r="R18" s="8">
        <v>-10112</v>
      </c>
      <c r="S18" s="8">
        <v>-11111</v>
      </c>
      <c r="T18" s="58">
        <f>IFERROR(S18/R18-1,0)</f>
        <v>9.8793512658227778E-2</v>
      </c>
      <c r="U18" s="88">
        <f>S18-R18</f>
        <v>-999</v>
      </c>
      <c r="V18" s="8">
        <v>-10156</v>
      </c>
      <c r="W18" s="8"/>
      <c r="X18" s="58">
        <f>IFERROR(W18/V18-1,0)</f>
        <v>-1</v>
      </c>
      <c r="Y18" s="88">
        <f>W18-V18</f>
        <v>10156</v>
      </c>
      <c r="Z18" s="8">
        <v>-10735</v>
      </c>
      <c r="AA18" s="8"/>
      <c r="AB18" s="58">
        <f>AA18/Z18-1</f>
        <v>-1</v>
      </c>
      <c r="AC18" s="88">
        <f>AA18-Z18</f>
        <v>10735</v>
      </c>
      <c r="AD18" s="8">
        <v>-10099</v>
      </c>
      <c r="AE18" s="8">
        <f>AI18-W18-AA18-S18</f>
        <v>0</v>
      </c>
      <c r="AF18" s="58">
        <f>AE18/AD18-1</f>
        <v>-1</v>
      </c>
      <c r="AG18" s="88">
        <f>AE18-AD18</f>
        <v>10099</v>
      </c>
      <c r="AH18" s="8">
        <f>R18</f>
        <v>-10112</v>
      </c>
      <c r="AI18" s="8">
        <f>S18</f>
        <v>-11111</v>
      </c>
      <c r="AJ18" s="58">
        <f>IFERROR(AI18/AH18-1,0)</f>
        <v>9.8793512658227778E-2</v>
      </c>
      <c r="AK18" s="88">
        <f>AI18-AH18</f>
        <v>-999</v>
      </c>
      <c r="AN18" s="294"/>
      <c r="AO18" s="100"/>
    </row>
    <row r="19" spans="1:41">
      <c r="A19" s="310" t="s">
        <v>470</v>
      </c>
      <c r="B19" s="310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-8.5911495937834065E-2</v>
      </c>
      <c r="R19" s="10">
        <f t="shared" ref="R19:S19" si="9">R18/R8</f>
        <v>-0.11665798347085625</v>
      </c>
      <c r="S19" s="10">
        <f t="shared" si="9"/>
        <v>-0.12176645406217622</v>
      </c>
      <c r="T19" s="10"/>
      <c r="U19" s="269">
        <f>(S19-R19)*100</f>
        <v>-0.51084705913199691</v>
      </c>
      <c r="V19" s="10">
        <f t="shared" ref="V19:W19" si="10">V18/V8</f>
        <v>-8.3305139500297803E-2</v>
      </c>
      <c r="W19" s="10" t="e">
        <f t="shared" si="10"/>
        <v>#DIV/0!</v>
      </c>
      <c r="X19" s="10"/>
      <c r="Y19" s="269" t="e">
        <f>(W19-V19)*100</f>
        <v>#DIV/0!</v>
      </c>
      <c r="Z19" s="10">
        <f t="shared" ref="Z19:AA19" si="11">Z18/Z8</f>
        <v>-9.9555966691177167E-2</v>
      </c>
      <c r="AA19" s="10" t="e">
        <f t="shared" si="11"/>
        <v>#DIV/0!</v>
      </c>
      <c r="AB19" s="10"/>
      <c r="AC19" s="269" t="e">
        <f>(AA19-Z19)*100</f>
        <v>#DIV/0!</v>
      </c>
      <c r="AD19" s="10">
        <f t="shared" ref="AD19" si="12">AD18/AD8</f>
        <v>-6.2339580807548749E-2</v>
      </c>
      <c r="AE19" s="10" t="e">
        <f t="shared" ref="AE19" si="13">AE18/AE8</f>
        <v>#DIV/0!</v>
      </c>
      <c r="AF19" s="10"/>
      <c r="AG19" s="269" t="e">
        <f>(AE19-AD19)*100</f>
        <v>#DIV/0!</v>
      </c>
      <c r="AH19" s="10">
        <f t="shared" ref="AH19" si="14">AH18/AH8</f>
        <v>-0.11665798347085625</v>
      </c>
      <c r="AI19" s="10">
        <f>AI18/AI8</f>
        <v>-0.12176645406217622</v>
      </c>
      <c r="AJ19" s="10"/>
      <c r="AK19" s="269">
        <f>(AI19-AH19)*100</f>
        <v>-0.51084705913199691</v>
      </c>
    </row>
    <row r="20" spans="1:41">
      <c r="A20" s="323"/>
      <c r="B20" s="324"/>
      <c r="C20" s="358"/>
      <c r="D20" s="358"/>
      <c r="E20" s="358"/>
      <c r="F20" s="360"/>
      <c r="G20" s="40"/>
      <c r="H20" s="358"/>
      <c r="I20" s="360"/>
      <c r="J20" s="360"/>
      <c r="K20" s="360"/>
      <c r="L20" s="360"/>
      <c r="M20" s="360"/>
      <c r="N20" s="360"/>
      <c r="O20" s="360"/>
      <c r="P20" s="360"/>
      <c r="Q20" s="360"/>
      <c r="R20" s="23"/>
      <c r="S20" s="23"/>
      <c r="T20" s="57"/>
      <c r="U20" s="56"/>
      <c r="V20" s="22"/>
      <c r="W20" s="22"/>
      <c r="X20" s="57"/>
      <c r="Y20" s="56"/>
      <c r="Z20" s="22"/>
      <c r="AA20" s="22"/>
      <c r="AB20" s="57"/>
      <c r="AC20" s="56"/>
      <c r="AD20" s="22"/>
      <c r="AE20" s="22"/>
      <c r="AF20" s="57"/>
      <c r="AG20" s="56"/>
      <c r="AH20" s="23"/>
      <c r="AI20" s="22"/>
      <c r="AJ20" s="57"/>
      <c r="AK20" s="56"/>
      <c r="AN20" s="294"/>
      <c r="AO20" s="100"/>
    </row>
    <row r="21" spans="1:41">
      <c r="A21" s="307" t="s">
        <v>472</v>
      </c>
      <c r="B21" s="308"/>
      <c r="C21" s="362">
        <v>26537</v>
      </c>
      <c r="D21" s="362">
        <v>-7520</v>
      </c>
      <c r="E21" s="362">
        <v>-28934</v>
      </c>
      <c r="F21" s="8">
        <v>-11784</v>
      </c>
      <c r="G21" s="8">
        <v>-9126</v>
      </c>
      <c r="H21" s="362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-6002</v>
      </c>
      <c r="Q21" s="8">
        <v>-19754</v>
      </c>
      <c r="R21" s="8">
        <v>-4310.4732599999988</v>
      </c>
      <c r="S21" s="8">
        <v>-3251</v>
      </c>
      <c r="T21" s="58">
        <f>IFERROR(S21/R21-1,0)</f>
        <v>-0.24579047266842324</v>
      </c>
      <c r="U21" s="88">
        <f>S21-R21</f>
        <v>1059.4732599999988</v>
      </c>
      <c r="V21" s="8">
        <v>-5145.511120000001</v>
      </c>
      <c r="W21" s="8"/>
      <c r="X21" s="58">
        <f>IFERROR(W21/V21-1,0)</f>
        <v>-1</v>
      </c>
      <c r="Y21" s="88">
        <f>W21-V21</f>
        <v>5145.511120000001</v>
      </c>
      <c r="Z21" s="8">
        <v>-2461.3838700000001</v>
      </c>
      <c r="AA21" s="8"/>
      <c r="AB21" s="58">
        <f>AA21/Z21-1</f>
        <v>-1</v>
      </c>
      <c r="AC21" s="88">
        <f>AA21-Z21</f>
        <v>2461.3838700000001</v>
      </c>
      <c r="AD21" s="8">
        <v>-7836.6317500000005</v>
      </c>
      <c r="AE21" s="8"/>
      <c r="AF21" s="58">
        <f>AE21/AD21-1</f>
        <v>-1</v>
      </c>
      <c r="AG21" s="88">
        <f>AE21-AD21</f>
        <v>7836.6317500000005</v>
      </c>
      <c r="AH21" s="8">
        <f>R21</f>
        <v>-4310.4732599999988</v>
      </c>
      <c r="AI21" s="8">
        <f>S21</f>
        <v>-3251</v>
      </c>
      <c r="AJ21" s="58">
        <f>IFERROR(AI21/AH21-1,0)</f>
        <v>-0.24579047266842324</v>
      </c>
      <c r="AK21" s="88">
        <f>AI21-AH21</f>
        <v>1059.4732599999988</v>
      </c>
    </row>
    <row r="22" spans="1:41">
      <c r="A22" s="323"/>
      <c r="B22" s="324"/>
      <c r="C22" s="358"/>
      <c r="D22" s="358"/>
      <c r="E22" s="358"/>
      <c r="F22" s="360"/>
      <c r="G22" s="38"/>
      <c r="H22" s="358"/>
      <c r="I22" s="360"/>
      <c r="J22" s="360"/>
      <c r="K22" s="360"/>
      <c r="L22" s="360"/>
      <c r="M22" s="360"/>
      <c r="N22" s="360"/>
      <c r="O22" s="360"/>
      <c r="P22" s="360"/>
      <c r="Q22" s="360"/>
      <c r="R22" s="23"/>
      <c r="S22" s="23"/>
      <c r="T22" s="57"/>
      <c r="U22" s="56"/>
      <c r="V22" s="22"/>
      <c r="W22" s="22"/>
      <c r="X22" s="57"/>
      <c r="Y22" s="56"/>
      <c r="Z22" s="22"/>
      <c r="AA22" s="22"/>
      <c r="AB22" s="57"/>
      <c r="AC22" s="56"/>
      <c r="AD22" s="22"/>
      <c r="AE22" s="22"/>
      <c r="AF22" s="57"/>
      <c r="AG22" s="56"/>
      <c r="AH22" s="23"/>
      <c r="AI22" s="22"/>
      <c r="AJ22" s="57"/>
      <c r="AK22" s="56"/>
    </row>
    <row r="23" spans="1:41">
      <c r="A23" s="323" t="s">
        <v>473</v>
      </c>
      <c r="B23" s="324"/>
      <c r="C23" s="366">
        <f>C10+C13+C18+C21+C14+C15</f>
        <v>98500</v>
      </c>
      <c r="D23" s="366">
        <f t="shared" ref="D23:L23" si="15">D10+D13+D18+D21+D14+D15</f>
        <v>64759</v>
      </c>
      <c r="E23" s="366">
        <f t="shared" si="15"/>
        <v>48490</v>
      </c>
      <c r="F23" s="366">
        <f t="shared" si="15"/>
        <v>65180</v>
      </c>
      <c r="G23" s="366">
        <f t="shared" si="15"/>
        <v>31655</v>
      </c>
      <c r="H23" s="366">
        <f t="shared" si="15"/>
        <v>8544.9741403039661</v>
      </c>
      <c r="I23" s="366">
        <f t="shared" si="15"/>
        <v>-12773.390136322469</v>
      </c>
      <c r="J23" s="366">
        <f t="shared" si="15"/>
        <v>-2901.8242947548279</v>
      </c>
      <c r="K23" s="366">
        <f t="shared" si="15"/>
        <v>-126645</v>
      </c>
      <c r="L23" s="366">
        <f t="shared" si="15"/>
        <v>-9616</v>
      </c>
      <c r="M23" s="366">
        <v>50648.677914169384</v>
      </c>
      <c r="N23" s="366">
        <v>55600.616256301873</v>
      </c>
      <c r="O23" s="366">
        <v>61715.197720072669</v>
      </c>
      <c r="P23" s="366">
        <v>66764</v>
      </c>
      <c r="Q23" s="366">
        <v>74847.585374855844</v>
      </c>
      <c r="R23" s="22">
        <f>R10+R13+R18+R21+R14</f>
        <v>5040.7564852264186</v>
      </c>
      <c r="S23" s="22">
        <f>S10+S13+S18+S21+S14</f>
        <v>5938.4871834513833</v>
      </c>
      <c r="T23" s="55">
        <f>IFERROR(S23/R23-1,0)</f>
        <v>0.17809443897082855</v>
      </c>
      <c r="U23" s="89">
        <f>S23-R23</f>
        <v>897.73069822496473</v>
      </c>
      <c r="V23" s="22">
        <f>V10+V13+V18+V21+V14</f>
        <v>23279.741209674197</v>
      </c>
      <c r="W23" s="22">
        <f>W10+W13+W18+W21+W14</f>
        <v>0</v>
      </c>
      <c r="X23" s="55">
        <f>IFERROR(W23/V23-1,0)</f>
        <v>-1</v>
      </c>
      <c r="Y23" s="89">
        <f>W23-V23</f>
        <v>-23279.741209674197</v>
      </c>
      <c r="Z23" s="22">
        <f>Z10+Z13+Z18+Z21+Z14+1</f>
        <v>15808.476867815405</v>
      </c>
      <c r="AA23" s="22">
        <f>AA10+AA13+AA18+AA21+AA14</f>
        <v>0</v>
      </c>
      <c r="AB23" s="55">
        <f>AA23/Z23-1</f>
        <v>-1</v>
      </c>
      <c r="AC23" s="89">
        <f>AA23-Z23</f>
        <v>-15808.476867815405</v>
      </c>
      <c r="AD23" s="22">
        <f>AD10+AD13+AD18+AD21+AD14+1</f>
        <v>30720.610812139785</v>
      </c>
      <c r="AE23" s="22">
        <f>AE10+AE13+AE18+AE21+AE14+1</f>
        <v>1</v>
      </c>
      <c r="AF23" s="55">
        <f>AE23/AD23-1</f>
        <v>-0.99996744856389363</v>
      </c>
      <c r="AG23" s="89">
        <f>AE23-AD23</f>
        <v>-30719.610812139785</v>
      </c>
      <c r="AH23" s="22">
        <f>AH10+AH13+AH18+AH21+AH14</f>
        <v>5040.7564852264186</v>
      </c>
      <c r="AI23" s="22">
        <f>AI10+AI13+AI18+AI21+AI14</f>
        <v>5938.4871834513833</v>
      </c>
      <c r="AJ23" s="55">
        <f>IFERROR(AI23/AH23-1,0)</f>
        <v>0.17809443897082855</v>
      </c>
      <c r="AK23" s="89">
        <f>AI23-AH23</f>
        <v>897.73069822496473</v>
      </c>
    </row>
    <row r="24" spans="1:41">
      <c r="A24" s="323"/>
      <c r="B24" s="324"/>
      <c r="C24" s="358"/>
      <c r="D24" s="358"/>
      <c r="E24" s="358"/>
      <c r="F24" s="360"/>
      <c r="G24" s="41"/>
      <c r="H24" s="358"/>
      <c r="I24" s="360"/>
      <c r="J24" s="360"/>
      <c r="K24" s="360"/>
      <c r="L24" s="360"/>
      <c r="M24" s="360"/>
      <c r="N24" s="360"/>
      <c r="O24" s="360"/>
      <c r="P24" s="360"/>
      <c r="Q24" s="360"/>
      <c r="R24" s="23"/>
      <c r="S24" s="23"/>
      <c r="T24" s="57"/>
      <c r="U24" s="56"/>
      <c r="V24" s="22"/>
      <c r="W24" s="22"/>
      <c r="X24" s="57"/>
      <c r="Y24" s="56"/>
      <c r="Z24" s="22"/>
      <c r="AA24" s="22"/>
      <c r="AB24" s="57"/>
      <c r="AC24" s="56"/>
      <c r="AD24" s="41"/>
      <c r="AE24" s="22"/>
      <c r="AF24" s="57"/>
      <c r="AG24" s="56"/>
      <c r="AH24" s="23"/>
      <c r="AI24" s="22"/>
      <c r="AJ24" s="57"/>
      <c r="AK24" s="56"/>
    </row>
    <row r="25" spans="1:41">
      <c r="A25" s="308" t="s">
        <v>474</v>
      </c>
      <c r="B25" s="308"/>
      <c r="C25" s="362">
        <v>-9288</v>
      </c>
      <c r="D25" s="362">
        <v>-3374</v>
      </c>
      <c r="E25" s="362">
        <v>-29310</v>
      </c>
      <c r="F25" s="8">
        <v>-40566</v>
      </c>
      <c r="G25" s="8">
        <v>-58084</v>
      </c>
      <c r="H25" s="362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-33998.283589999992</v>
      </c>
      <c r="R25" s="8">
        <v>-7636.7620100000013</v>
      </c>
      <c r="S25" s="8">
        <f>-10593.3187-1</f>
        <v>-10594.3187</v>
      </c>
      <c r="T25" s="58">
        <f t="shared" ref="T25:T27" si="16">IFERROR(S25/R25-1,0)</f>
        <v>0.38727888680139677</v>
      </c>
      <c r="U25" s="88">
        <f>S25-R25</f>
        <v>-2957.5566899999985</v>
      </c>
      <c r="V25" s="8">
        <v>-11048.701899999996</v>
      </c>
      <c r="W25" s="8"/>
      <c r="X25" s="58">
        <f t="shared" ref="X25:X27" si="17">IFERROR(W25/V25-1,0)</f>
        <v>-1</v>
      </c>
      <c r="Y25" s="88">
        <f>W25-V25</f>
        <v>11048.701899999996</v>
      </c>
      <c r="Z25" s="8">
        <v>-9441.7076799999959</v>
      </c>
      <c r="AA25" s="8"/>
      <c r="AB25" s="58">
        <f>AA25/Z25-1</f>
        <v>-1</v>
      </c>
      <c r="AC25" s="88">
        <f>AA25-Z25</f>
        <v>9441.7076799999959</v>
      </c>
      <c r="AD25" s="8">
        <v>-5871.1119999999992</v>
      </c>
      <c r="AE25" s="8"/>
      <c r="AF25" s="58">
        <f>AE25/AD25-1</f>
        <v>-1</v>
      </c>
      <c r="AG25" s="88">
        <f>AE25-AD25</f>
        <v>5871.1119999999992</v>
      </c>
      <c r="AH25" s="8">
        <f>R25</f>
        <v>-7636.7620100000013</v>
      </c>
      <c r="AI25" s="8">
        <f>S25+W25+AA25+AE25</f>
        <v>-10594.3187</v>
      </c>
      <c r="AJ25" s="58">
        <f t="shared" ref="AJ25:AJ27" si="18">IFERROR(AI25/AH25-1,0)</f>
        <v>0.38727888680139677</v>
      </c>
      <c r="AK25" s="88">
        <f>AI25-AH25</f>
        <v>-2957.5566899999985</v>
      </c>
    </row>
    <row r="26" spans="1:41">
      <c r="A26" s="308" t="s">
        <v>475</v>
      </c>
      <c r="B26" s="308"/>
      <c r="C26" s="362">
        <v>16592</v>
      </c>
      <c r="D26" s="362">
        <v>20034</v>
      </c>
      <c r="E26" s="362">
        <v>23764</v>
      </c>
      <c r="F26" s="8">
        <v>30667</v>
      </c>
      <c r="G26" s="8">
        <v>57485</v>
      </c>
      <c r="H26" s="362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38973.360893883313</v>
      </c>
      <c r="R26" s="8">
        <v>7801.7423144555432</v>
      </c>
      <c r="S26" s="8">
        <v>11663</v>
      </c>
      <c r="T26" s="58">
        <f t="shared" si="16"/>
        <v>0.49492248396747018</v>
      </c>
      <c r="U26" s="88">
        <f>S26-R26</f>
        <v>3861.2576855444568</v>
      </c>
      <c r="V26" s="8">
        <v>11061.61857942777</v>
      </c>
      <c r="W26" s="8"/>
      <c r="X26" s="58">
        <f t="shared" si="17"/>
        <v>-1</v>
      </c>
      <c r="Y26" s="88">
        <f>W26-V26</f>
        <v>-11061.61857942777</v>
      </c>
      <c r="Z26" s="8">
        <v>11087</v>
      </c>
      <c r="AA26" s="8"/>
      <c r="AB26" s="58">
        <f>AA26/Z26-1</f>
        <v>-1</v>
      </c>
      <c r="AC26" s="88">
        <f>AA26-Z26</f>
        <v>-11087</v>
      </c>
      <c r="AD26" s="8">
        <v>9023</v>
      </c>
      <c r="AE26" s="8"/>
      <c r="AF26" s="58">
        <f>AE26/AD26-1</f>
        <v>-1</v>
      </c>
      <c r="AG26" s="88">
        <f>AE26-AD26</f>
        <v>-9023</v>
      </c>
      <c r="AH26" s="8">
        <f>R26</f>
        <v>7801.7423144555432</v>
      </c>
      <c r="AI26" s="8">
        <f t="shared" ref="AI26:AI27" si="19">S26+W26+AA26+AE26</f>
        <v>11663</v>
      </c>
      <c r="AJ26" s="58">
        <f t="shared" si="18"/>
        <v>0.49492248396747018</v>
      </c>
      <c r="AK26" s="88">
        <f>AI26-AH26</f>
        <v>3861.2576855444568</v>
      </c>
    </row>
    <row r="27" spans="1:41">
      <c r="A27" s="307" t="s">
        <v>476</v>
      </c>
      <c r="B27" s="308"/>
      <c r="C27" s="362">
        <f>SUM(C25:C26)</f>
        <v>7304</v>
      </c>
      <c r="D27" s="362">
        <f t="shared" ref="D27:L27" si="20">SUM(D25:D26)</f>
        <v>16660</v>
      </c>
      <c r="E27" s="362">
        <f t="shared" si="20"/>
        <v>-5546</v>
      </c>
      <c r="F27" s="362">
        <f t="shared" si="20"/>
        <v>-9899</v>
      </c>
      <c r="G27" s="362">
        <f t="shared" si="20"/>
        <v>-599</v>
      </c>
      <c r="H27" s="362">
        <f t="shared" si="20"/>
        <v>-6690</v>
      </c>
      <c r="I27" s="362">
        <f t="shared" si="20"/>
        <v>-2499</v>
      </c>
      <c r="J27" s="362">
        <f t="shared" si="20"/>
        <v>4249</v>
      </c>
      <c r="K27" s="362">
        <f t="shared" si="20"/>
        <v>-5183</v>
      </c>
      <c r="L27" s="362">
        <f t="shared" si="20"/>
        <v>-24308</v>
      </c>
      <c r="M27" s="362">
        <v>-15031</v>
      </c>
      <c r="N27" s="362">
        <v>-9971</v>
      </c>
      <c r="O27" s="362">
        <v>3515.9999999999991</v>
      </c>
      <c r="P27" s="362">
        <v>18335.982193635977</v>
      </c>
      <c r="Q27" s="362">
        <v>4975.2789148652791</v>
      </c>
      <c r="R27" s="8">
        <f>SUM(R25:R26)</f>
        <v>164.98030445554195</v>
      </c>
      <c r="S27" s="8">
        <f>SUM(S25:S26)</f>
        <v>1068.6813000000002</v>
      </c>
      <c r="T27" s="58">
        <f t="shared" si="16"/>
        <v>5.4776295784323938</v>
      </c>
      <c r="U27" s="88">
        <f>S27-R27</f>
        <v>903.70099554445824</v>
      </c>
      <c r="V27" s="8">
        <f>SUM(V25:V26)</f>
        <v>12.916679427773488</v>
      </c>
      <c r="W27" s="8">
        <f>SUM(W25:W26)</f>
        <v>0</v>
      </c>
      <c r="X27" s="58">
        <f t="shared" si="17"/>
        <v>-1</v>
      </c>
      <c r="Y27" s="88">
        <f>W27-V27</f>
        <v>-12.916679427773488</v>
      </c>
      <c r="Z27" s="8">
        <f>SUM(Z25:Z26)</f>
        <v>1645.2923200000041</v>
      </c>
      <c r="AA27" s="8">
        <f>SUM(AA25:AA26)</f>
        <v>0</v>
      </c>
      <c r="AB27" s="58">
        <f>AA27/Z27-1</f>
        <v>-1</v>
      </c>
      <c r="AC27" s="88">
        <f>AA27-Z27</f>
        <v>-1645.2923200000041</v>
      </c>
      <c r="AD27" s="8">
        <v>3152.08961098196</v>
      </c>
      <c r="AE27" s="8">
        <f>SUM(AE25:AE26)</f>
        <v>0</v>
      </c>
      <c r="AF27" s="58">
        <f>AE27/AD27-1</f>
        <v>-1</v>
      </c>
      <c r="AG27" s="88">
        <f>AE27-AD27</f>
        <v>-3152.08961098196</v>
      </c>
      <c r="AH27" s="8">
        <f>SUM(AH25:AH26)</f>
        <v>164.98030445554195</v>
      </c>
      <c r="AI27" s="8">
        <f t="shared" si="19"/>
        <v>1068.6813000000002</v>
      </c>
      <c r="AJ27" s="58">
        <f t="shared" si="18"/>
        <v>5.4776295784323938</v>
      </c>
      <c r="AK27" s="88">
        <f>AI27-AH27</f>
        <v>903.70099554445824</v>
      </c>
    </row>
    <row r="28" spans="1:41">
      <c r="A28" s="323"/>
      <c r="B28" s="324"/>
      <c r="C28" s="358"/>
      <c r="D28" s="358"/>
      <c r="E28" s="358"/>
      <c r="F28" s="367"/>
      <c r="G28" s="38"/>
      <c r="H28" s="358"/>
      <c r="I28" s="367"/>
      <c r="J28" s="367"/>
      <c r="K28" s="367"/>
      <c r="L28" s="367"/>
      <c r="M28" s="367"/>
      <c r="N28" s="367"/>
      <c r="O28" s="367"/>
      <c r="P28" s="367"/>
      <c r="Q28" s="367"/>
      <c r="R28" s="83"/>
      <c r="S28" s="83"/>
      <c r="T28" s="57"/>
      <c r="U28" s="56"/>
      <c r="V28" s="22"/>
      <c r="W28" s="22"/>
      <c r="X28" s="57"/>
      <c r="Y28" s="56"/>
      <c r="Z28" s="22"/>
      <c r="AA28" s="22"/>
      <c r="AB28" s="57"/>
      <c r="AC28" s="56"/>
      <c r="AD28" s="40"/>
      <c r="AE28" s="22"/>
      <c r="AF28" s="57"/>
      <c r="AG28" s="56"/>
      <c r="AH28" s="83"/>
      <c r="AI28" s="83"/>
      <c r="AJ28" s="57"/>
      <c r="AK28" s="56"/>
    </row>
    <row r="29" spans="1:41">
      <c r="A29" s="323" t="s">
        <v>477</v>
      </c>
      <c r="B29" s="324"/>
      <c r="C29" s="358">
        <f>C23+C27</f>
        <v>105804</v>
      </c>
      <c r="D29" s="358">
        <f t="shared" ref="D29:L29" si="21">D23+D27</f>
        <v>81419</v>
      </c>
      <c r="E29" s="358">
        <f t="shared" si="21"/>
        <v>42944</v>
      </c>
      <c r="F29" s="358">
        <f t="shared" si="21"/>
        <v>55281</v>
      </c>
      <c r="G29" s="358">
        <f t="shared" si="21"/>
        <v>31056</v>
      </c>
      <c r="H29" s="358">
        <f t="shared" si="21"/>
        <v>1854.9741403039661</v>
      </c>
      <c r="I29" s="358">
        <f t="shared" si="21"/>
        <v>-15272.390136322469</v>
      </c>
      <c r="J29" s="358">
        <f t="shared" si="21"/>
        <v>1347.1757052451721</v>
      </c>
      <c r="K29" s="358">
        <f t="shared" si="21"/>
        <v>-131828</v>
      </c>
      <c r="L29" s="358">
        <f t="shared" si="21"/>
        <v>-33924</v>
      </c>
      <c r="M29" s="358">
        <v>35617.677914169384</v>
      </c>
      <c r="N29" s="358">
        <v>45629.616256301873</v>
      </c>
      <c r="O29" s="358">
        <v>65231.197720072669</v>
      </c>
      <c r="P29" s="358">
        <v>85100</v>
      </c>
      <c r="Q29" s="358">
        <v>79822.864289721125</v>
      </c>
      <c r="R29" s="22">
        <f>R23+R27</f>
        <v>5205.7367896819605</v>
      </c>
      <c r="S29" s="22">
        <f>S23+S27</f>
        <v>7007.1684834513835</v>
      </c>
      <c r="T29" s="55">
        <f>IFERROR(S29/R29-1,0)</f>
        <v>0.34604740242340992</v>
      </c>
      <c r="U29" s="89">
        <f>S29-R29</f>
        <v>1801.431693769423</v>
      </c>
      <c r="V29" s="22">
        <f>V23+V27</f>
        <v>23292.657889101971</v>
      </c>
      <c r="W29" s="22">
        <f>W23+W27</f>
        <v>0</v>
      </c>
      <c r="X29" s="55">
        <f>IFERROR(W29/V29-1,0)</f>
        <v>-1</v>
      </c>
      <c r="Y29" s="89">
        <f>W29-V29</f>
        <v>-23292.657889101971</v>
      </c>
      <c r="Z29" s="22">
        <f>Z23+Z27</f>
        <v>17453.769187815407</v>
      </c>
      <c r="AA29" s="22">
        <f>AA23+AA27</f>
        <v>0</v>
      </c>
      <c r="AB29" s="55">
        <f>AA29/Z29-1</f>
        <v>-1</v>
      </c>
      <c r="AC29" s="89">
        <f>AA29-Z29</f>
        <v>-17453.769187815407</v>
      </c>
      <c r="AD29" s="22">
        <v>33872.700423121743</v>
      </c>
      <c r="AE29" s="22">
        <f>AE23+AE27</f>
        <v>1</v>
      </c>
      <c r="AF29" s="55">
        <f>AE29/AD29-1</f>
        <v>-0.99997047770069969</v>
      </c>
      <c r="AG29" s="89">
        <f>AE29-AD29</f>
        <v>-33871.700423121743</v>
      </c>
      <c r="AH29" s="22">
        <f>AH23+AH27</f>
        <v>5205.7367896819605</v>
      </c>
      <c r="AI29" s="22">
        <f>AI23+AI27</f>
        <v>7007.1684834513835</v>
      </c>
      <c r="AJ29" s="55">
        <f>IFERROR(AI29/AH29-1,0)</f>
        <v>0.34604740242340992</v>
      </c>
      <c r="AK29" s="89">
        <f>AI29-AH29</f>
        <v>1801.431693769423</v>
      </c>
    </row>
    <row r="30" spans="1:41">
      <c r="A30" s="323"/>
      <c r="B30" s="324"/>
      <c r="C30" s="358"/>
      <c r="D30" s="358"/>
      <c r="E30" s="358"/>
      <c r="F30" s="22"/>
      <c r="G30" s="22"/>
      <c r="H30" s="358"/>
      <c r="I30" s="22"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57"/>
      <c r="U30" s="56"/>
      <c r="V30" s="22"/>
      <c r="W30" s="22"/>
      <c r="X30" s="57"/>
      <c r="Y30" s="56"/>
      <c r="Z30" s="22"/>
      <c r="AA30" s="22"/>
      <c r="AB30" s="57"/>
      <c r="AC30" s="270"/>
      <c r="AD30" s="22"/>
      <c r="AE30" s="22"/>
      <c r="AF30" s="57"/>
      <c r="AG30" s="270"/>
      <c r="AH30" s="22"/>
      <c r="AI30" s="22"/>
      <c r="AJ30" s="57"/>
      <c r="AK30" s="89"/>
    </row>
    <row r="31" spans="1:41">
      <c r="A31" s="324" t="s">
        <v>478</v>
      </c>
      <c r="B31" s="324"/>
      <c r="C31" s="358">
        <v>-5992</v>
      </c>
      <c r="D31" s="358">
        <v>-6459</v>
      </c>
      <c r="E31" s="358">
        <v>-7244</v>
      </c>
      <c r="F31" s="22">
        <v>-7146</v>
      </c>
      <c r="G31" s="22">
        <v>-7223</v>
      </c>
      <c r="H31" s="358">
        <v>178</v>
      </c>
      <c r="I31" s="22">
        <v>0</v>
      </c>
      <c r="J31" s="22">
        <v>0</v>
      </c>
      <c r="K31" s="22">
        <v>0</v>
      </c>
      <c r="L31" s="22">
        <v>-1893</v>
      </c>
      <c r="M31" s="22">
        <v>-1568</v>
      </c>
      <c r="N31" s="22">
        <v>-6822</v>
      </c>
      <c r="O31" s="22">
        <v>-2620</v>
      </c>
      <c r="P31" s="22">
        <v>-11520</v>
      </c>
      <c r="Q31" s="22">
        <v>-9587</v>
      </c>
      <c r="R31" s="22">
        <v>-6079.5761400000001</v>
      </c>
      <c r="S31" s="22">
        <v>-3479</v>
      </c>
      <c r="T31" s="55">
        <f t="shared" ref="T31:T32" si="22">IFERROR(S31/R31-1,0)</f>
        <v>-0.42775615932988387</v>
      </c>
      <c r="U31" s="89">
        <f>S31-R31</f>
        <v>2600.5761400000001</v>
      </c>
      <c r="V31" s="22">
        <v>-6053.8755400000009</v>
      </c>
      <c r="W31" s="22"/>
      <c r="X31" s="55">
        <f t="shared" ref="X31:X32" si="23">IFERROR(W31/V31-1,0)</f>
        <v>-1</v>
      </c>
      <c r="Y31" s="89">
        <f>W31-V31</f>
        <v>6053.8755400000009</v>
      </c>
      <c r="Z31" s="22">
        <v>4508.4583600000005</v>
      </c>
      <c r="AA31" s="22"/>
      <c r="AB31" s="55">
        <f>AA31/Z31-1</f>
        <v>-1</v>
      </c>
      <c r="AC31" s="89">
        <f>AA31-Z31</f>
        <v>-4508.4583600000005</v>
      </c>
      <c r="AD31" s="22">
        <v>-1962.0066799999995</v>
      </c>
      <c r="AE31" s="388"/>
      <c r="AF31" s="55"/>
      <c r="AG31" s="89">
        <f>AE31-AD31</f>
        <v>1962.0066799999995</v>
      </c>
      <c r="AH31" s="22">
        <f>R31</f>
        <v>-6079.5761400000001</v>
      </c>
      <c r="AI31" s="22">
        <f t="shared" ref="AI31:AI32" si="24">S31+W31+AA31+AE31</f>
        <v>-3479</v>
      </c>
      <c r="AJ31" s="55">
        <f t="shared" ref="AJ31:AJ32" si="25">IFERROR(AI31/AH31-1,0)</f>
        <v>-0.42775615932988387</v>
      </c>
      <c r="AK31" s="89">
        <f>AI31-AH31</f>
        <v>2600.5761400000001</v>
      </c>
    </row>
    <row r="32" spans="1:41">
      <c r="A32" s="324" t="s">
        <v>479</v>
      </c>
      <c r="B32" s="324"/>
      <c r="C32" s="358">
        <v>-10855</v>
      </c>
      <c r="D32" s="358">
        <v>-11196</v>
      </c>
      <c r="E32" s="358">
        <v>-4178</v>
      </c>
      <c r="F32" s="22">
        <v>-1907</v>
      </c>
      <c r="G32" s="22">
        <v>-1818</v>
      </c>
      <c r="H32" s="358">
        <v>-3969</v>
      </c>
      <c r="I32" s="22">
        <v>3188</v>
      </c>
      <c r="J32" s="22">
        <v>13022</v>
      </c>
      <c r="K32" s="22">
        <v>9174</v>
      </c>
      <c r="L32" s="22">
        <v>7654</v>
      </c>
      <c r="M32" s="22">
        <v>-5969</v>
      </c>
      <c r="N32" s="22">
        <v>1115</v>
      </c>
      <c r="O32" s="22">
        <v>-6399</v>
      </c>
      <c r="P32" s="22">
        <v>-8747</v>
      </c>
      <c r="Q32" s="22">
        <v>1240</v>
      </c>
      <c r="R32" s="22">
        <v>5360.7877100000005</v>
      </c>
      <c r="S32" s="22">
        <v>2958.5984400000011</v>
      </c>
      <c r="T32" s="55">
        <f t="shared" si="22"/>
        <v>-0.44810378622510294</v>
      </c>
      <c r="U32" s="89">
        <f>S32-R32</f>
        <v>-2402.1892699999994</v>
      </c>
      <c r="V32" s="22">
        <v>1857.0732099999998</v>
      </c>
      <c r="W32" s="22"/>
      <c r="X32" s="55">
        <f t="shared" si="23"/>
        <v>-1</v>
      </c>
      <c r="Y32" s="89">
        <f>W32-V32</f>
        <v>-1857.0732099999998</v>
      </c>
      <c r="Z32" s="22">
        <v>-3160.7118799999998</v>
      </c>
      <c r="AA32" s="22"/>
      <c r="AB32" s="55">
        <f>AA32/Z32-1</f>
        <v>-1</v>
      </c>
      <c r="AC32" s="89">
        <f>AA32-Z32</f>
        <v>3160.7118799999998</v>
      </c>
      <c r="AD32" s="22">
        <v>-2817.1490400000002</v>
      </c>
      <c r="AE32" s="388"/>
      <c r="AF32" s="55">
        <f>AE32/AD32-1</f>
        <v>-1</v>
      </c>
      <c r="AG32" s="89">
        <f>AE32-AD32</f>
        <v>2817.1490400000002</v>
      </c>
      <c r="AH32" s="22">
        <f>R32</f>
        <v>5360.7877100000005</v>
      </c>
      <c r="AI32" s="22">
        <f t="shared" si="24"/>
        <v>2958.5984400000011</v>
      </c>
      <c r="AJ32" s="55">
        <f t="shared" si="25"/>
        <v>-0.44810378622510294</v>
      </c>
      <c r="AK32" s="89">
        <f>AI32-AH32</f>
        <v>-2402.1892699999994</v>
      </c>
    </row>
    <row r="33" spans="1:37">
      <c r="A33" s="307" t="s">
        <v>480</v>
      </c>
      <c r="B33" s="308"/>
      <c r="C33" s="362">
        <f>SUM(C31:C32)</f>
        <v>-16847</v>
      </c>
      <c r="D33" s="362">
        <f t="shared" ref="D33:L33" si="26">SUM(D31:D32)</f>
        <v>-17655</v>
      </c>
      <c r="E33" s="362">
        <f t="shared" si="26"/>
        <v>-11422</v>
      </c>
      <c r="F33" s="362">
        <f t="shared" si="26"/>
        <v>-9053</v>
      </c>
      <c r="G33" s="362">
        <f t="shared" si="26"/>
        <v>-9041</v>
      </c>
      <c r="H33" s="362">
        <f t="shared" si="26"/>
        <v>-3791</v>
      </c>
      <c r="I33" s="362">
        <f t="shared" si="26"/>
        <v>3188</v>
      </c>
      <c r="J33" s="362">
        <f t="shared" si="26"/>
        <v>13022</v>
      </c>
      <c r="K33" s="362">
        <f t="shared" si="26"/>
        <v>9174</v>
      </c>
      <c r="L33" s="362">
        <f t="shared" si="26"/>
        <v>5761</v>
      </c>
      <c r="M33" s="362">
        <v>-7537</v>
      </c>
      <c r="N33" s="362">
        <v>-5707</v>
      </c>
      <c r="O33" s="362">
        <v>-9019</v>
      </c>
      <c r="P33" s="362">
        <f t="shared" ref="P33:S33" si="27">SUM(P31:P32)</f>
        <v>-20267</v>
      </c>
      <c r="Q33" s="362">
        <v>-8347</v>
      </c>
      <c r="R33" s="8">
        <f t="shared" si="27"/>
        <v>-718.78842999999961</v>
      </c>
      <c r="S33" s="8">
        <f t="shared" si="27"/>
        <v>-520.40155999999888</v>
      </c>
      <c r="T33" s="58">
        <f>IFERROR(S33/R33-1,0)</f>
        <v>-0.27600175756863643</v>
      </c>
      <c r="U33" s="88">
        <f>S33-R33</f>
        <v>198.38687000000073</v>
      </c>
      <c r="V33" s="8">
        <f t="shared" ref="V33:W33" si="28">SUM(V31:V32)</f>
        <v>-4196.8023300000013</v>
      </c>
      <c r="W33" s="8">
        <f t="shared" si="28"/>
        <v>0</v>
      </c>
      <c r="X33" s="58">
        <f>IFERROR(W33/V33-1,0)</f>
        <v>-1</v>
      </c>
      <c r="Y33" s="88">
        <f>W33-V33</f>
        <v>4196.8023300000013</v>
      </c>
      <c r="Z33" s="8">
        <f t="shared" ref="Z33:AA33" si="29">SUM(Z31:Z32)</f>
        <v>1347.7464800000007</v>
      </c>
      <c r="AA33" s="8">
        <f t="shared" si="29"/>
        <v>0</v>
      </c>
      <c r="AB33" s="58">
        <f>AA33/Z33-1</f>
        <v>-1</v>
      </c>
      <c r="AC33" s="88">
        <f>AA33-Z33</f>
        <v>-1347.7464800000007</v>
      </c>
      <c r="AD33" s="8">
        <v>-4779.1557199999997</v>
      </c>
      <c r="AE33" s="8">
        <f t="shared" ref="AE33" si="30">SUM(AE31:AE32)</f>
        <v>0</v>
      </c>
      <c r="AF33" s="58">
        <f>AE33/AD33-1</f>
        <v>-1</v>
      </c>
      <c r="AG33" s="88">
        <f>AE33-AD33</f>
        <v>4779.1557199999997</v>
      </c>
      <c r="AH33" s="8">
        <f t="shared" ref="AH33" si="31">SUM(AH31:AH32)</f>
        <v>-718.78842999999961</v>
      </c>
      <c r="AI33" s="8">
        <f>SUM(AI31:AI32)</f>
        <v>-520.40155999999888</v>
      </c>
      <c r="AJ33" s="58">
        <f>IFERROR(AI33/AH33-1,0)</f>
        <v>-0.27600175756863643</v>
      </c>
      <c r="AK33" s="88">
        <f>AI33-AH33</f>
        <v>198.38687000000073</v>
      </c>
    </row>
    <row r="34" spans="1:37">
      <c r="A34" s="323"/>
      <c r="B34" s="324"/>
      <c r="C34" s="358"/>
      <c r="D34" s="358"/>
      <c r="E34" s="358"/>
      <c r="F34" s="360"/>
      <c r="G34" s="7"/>
      <c r="H34" s="358"/>
      <c r="I34" s="360"/>
      <c r="J34" s="360"/>
      <c r="K34" s="360"/>
      <c r="L34" s="360"/>
      <c r="M34" s="360"/>
      <c r="N34" s="360"/>
      <c r="O34" s="360"/>
      <c r="P34" s="360"/>
      <c r="Q34" s="360"/>
      <c r="R34" s="23"/>
      <c r="S34" s="23"/>
      <c r="T34" s="57"/>
      <c r="U34" s="56"/>
      <c r="V34" s="22"/>
      <c r="W34" s="22"/>
      <c r="X34" s="57"/>
      <c r="Y34" s="56"/>
      <c r="Z34" s="22"/>
      <c r="AA34" s="22"/>
      <c r="AB34" s="57"/>
      <c r="AC34" s="56"/>
      <c r="AD34" s="7"/>
      <c r="AE34" s="22"/>
      <c r="AF34" s="57"/>
      <c r="AG34" s="56"/>
      <c r="AH34" s="23"/>
      <c r="AI34" s="23"/>
      <c r="AJ34" s="57"/>
      <c r="AK34" s="56"/>
    </row>
    <row r="35" spans="1:37">
      <c r="A35" s="307" t="s">
        <v>481</v>
      </c>
      <c r="B35" s="308"/>
      <c r="C35" s="362">
        <f>C29+C33</f>
        <v>88957</v>
      </c>
      <c r="D35" s="362">
        <f t="shared" ref="D35:L35" si="32">D29+D33</f>
        <v>63764</v>
      </c>
      <c r="E35" s="362">
        <f t="shared" si="32"/>
        <v>31522</v>
      </c>
      <c r="F35" s="362">
        <f t="shared" si="32"/>
        <v>46228</v>
      </c>
      <c r="G35" s="362">
        <f t="shared" si="32"/>
        <v>22015</v>
      </c>
      <c r="H35" s="362">
        <f t="shared" si="32"/>
        <v>-1936.0258596960339</v>
      </c>
      <c r="I35" s="362">
        <f t="shared" si="32"/>
        <v>-12084.390136322469</v>
      </c>
      <c r="J35" s="362">
        <f t="shared" si="32"/>
        <v>14369.175705245172</v>
      </c>
      <c r="K35" s="362">
        <f t="shared" si="32"/>
        <v>-122654</v>
      </c>
      <c r="L35" s="362">
        <f t="shared" si="32"/>
        <v>-28163</v>
      </c>
      <c r="M35" s="362">
        <v>28080.677914169384</v>
      </c>
      <c r="N35" s="362">
        <v>39922.616256301873</v>
      </c>
      <c r="O35" s="362">
        <v>56212.197720072669</v>
      </c>
      <c r="P35" s="362">
        <v>64833</v>
      </c>
      <c r="Q35" s="362">
        <v>71475.864289721125</v>
      </c>
      <c r="R35" s="8">
        <f>SUM(R29:R32)</f>
        <v>4486.9483596819609</v>
      </c>
      <c r="S35" s="8">
        <f>SUM(S29:S32)</f>
        <v>6486.7669234513851</v>
      </c>
      <c r="T35" s="58">
        <f>IFERROR(S35/R35-1,0)</f>
        <v>0.44569680848994064</v>
      </c>
      <c r="U35" s="88">
        <f>S35-R35</f>
        <v>1999.8185637694241</v>
      </c>
      <c r="V35" s="8">
        <f>SUM(V29:V32)</f>
        <v>19095.855559101969</v>
      </c>
      <c r="W35" s="8">
        <f>SUM(W29:W32)</f>
        <v>0</v>
      </c>
      <c r="X35" s="58">
        <f>IFERROR(W35/V35-1,0)</f>
        <v>-1</v>
      </c>
      <c r="Y35" s="88">
        <f>W35-V35</f>
        <v>-19095.855559101969</v>
      </c>
      <c r="Z35" s="8">
        <f>SUM(Z29:Z32)</f>
        <v>18801.515667815409</v>
      </c>
      <c r="AA35" s="8">
        <f>SUM(AA29:AA32)</f>
        <v>0</v>
      </c>
      <c r="AB35" s="58">
        <f>AA35/Z35-1</f>
        <v>-1</v>
      </c>
      <c r="AC35" s="88">
        <f>AA35-Z35</f>
        <v>-18801.515667815409</v>
      </c>
      <c r="AD35" s="8">
        <v>29093.544703121745</v>
      </c>
      <c r="AE35" s="8">
        <f>SUM(AE29:AE32)</f>
        <v>1</v>
      </c>
      <c r="AF35" s="58">
        <f>AE35/AD35-1</f>
        <v>-0.99996562811406431</v>
      </c>
      <c r="AG35" s="88">
        <f>AE35-AD35</f>
        <v>-29092.544703121745</v>
      </c>
      <c r="AH35" s="8">
        <f>SUM(AH29:AH32)</f>
        <v>4486.9483596819609</v>
      </c>
      <c r="AI35" s="8">
        <f>SUM(AI29:AI32)</f>
        <v>6486.7669234513851</v>
      </c>
      <c r="AJ35" s="58">
        <f>IFERROR(AI35/AH35-1,0)</f>
        <v>0.44569680848994064</v>
      </c>
      <c r="AK35" s="88">
        <f>AI35-AH35</f>
        <v>1999.8185637694241</v>
      </c>
    </row>
    <row r="36" spans="1:37">
      <c r="A36" s="309" t="s">
        <v>7</v>
      </c>
      <c r="B36" s="309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0.14939901767747446</v>
      </c>
      <c r="R36" s="9">
        <f t="shared" ref="R36:S36" si="33">R35/R8</f>
        <v>5.1764077094379329E-2</v>
      </c>
      <c r="S36" s="9">
        <f t="shared" si="33"/>
        <v>7.1089065484338687E-2</v>
      </c>
      <c r="T36" s="9"/>
      <c r="U36" s="51">
        <f>(S36-R36)*100</f>
        <v>1.9324988389959357</v>
      </c>
      <c r="V36" s="9">
        <f t="shared" ref="V36:W36" si="34">V35/V8</f>
        <v>0.15663478842344691</v>
      </c>
      <c r="W36" s="9" t="e">
        <f t="shared" si="34"/>
        <v>#DIV/0!</v>
      </c>
      <c r="X36" s="9"/>
      <c r="Y36" s="51" t="e">
        <f>(W36-V36)*100</f>
        <v>#DIV/0!</v>
      </c>
      <c r="Z36" s="9">
        <f t="shared" ref="Z36:AA36" si="35">Z35/Z8</f>
        <v>0.17436451491091537</v>
      </c>
      <c r="AA36" s="9" t="e">
        <f t="shared" si="35"/>
        <v>#DIV/0!</v>
      </c>
      <c r="AB36" s="9"/>
      <c r="AC36" s="51" t="e">
        <f>(AA36-Z36)*100</f>
        <v>#DIV/0!</v>
      </c>
      <c r="AD36" s="9">
        <v>0.17958999712825921</v>
      </c>
      <c r="AE36" s="9" t="e">
        <f t="shared" ref="AE36" si="36">AE35/AE8</f>
        <v>#DIV/0!</v>
      </c>
      <c r="AF36" s="9"/>
      <c r="AG36" s="51" t="e">
        <f>(AE36-AD36)*100</f>
        <v>#DIV/0!</v>
      </c>
      <c r="AH36" s="9">
        <f>AH35/AH8</f>
        <v>5.1764077094379329E-2</v>
      </c>
      <c r="AI36" s="9">
        <f>AI35/AI8</f>
        <v>7.1089065484338687E-2</v>
      </c>
      <c r="AJ36" s="9"/>
      <c r="AK36" s="51">
        <f>(AI36-AH36)*100</f>
        <v>1.9324988389959357</v>
      </c>
    </row>
    <row r="37" spans="1:37">
      <c r="A37" s="323"/>
      <c r="B37" s="324"/>
      <c r="C37" s="360"/>
      <c r="D37" s="360"/>
      <c r="E37" s="360"/>
      <c r="F37" s="360"/>
      <c r="G37" s="360"/>
      <c r="H37" s="368"/>
      <c r="I37" s="360"/>
      <c r="J37" s="360"/>
      <c r="K37" s="360"/>
      <c r="L37" s="360"/>
      <c r="M37" s="360"/>
      <c r="N37" s="360"/>
      <c r="O37" s="360"/>
      <c r="P37" s="360"/>
      <c r="Q37" s="360"/>
      <c r="R37" s="23"/>
      <c r="S37" s="23"/>
      <c r="T37" s="57"/>
      <c r="U37" s="56"/>
      <c r="V37" s="42"/>
      <c r="W37" s="42"/>
      <c r="X37" s="57"/>
      <c r="Y37" s="56"/>
      <c r="Z37" s="42"/>
      <c r="AA37" s="42"/>
      <c r="AB37" s="57"/>
      <c r="AC37" s="56"/>
      <c r="AD37" s="42"/>
      <c r="AE37" s="42"/>
      <c r="AF37" s="57"/>
      <c r="AG37" s="56"/>
      <c r="AH37" s="23"/>
      <c r="AI37" s="23"/>
      <c r="AJ37" s="57"/>
      <c r="AK37" s="56"/>
    </row>
    <row r="38" spans="1:37">
      <c r="A38" s="322" t="s">
        <v>3</v>
      </c>
      <c r="B38" s="313"/>
      <c r="C38" s="369">
        <v>-3147</v>
      </c>
      <c r="D38" s="370">
        <v>-5425</v>
      </c>
      <c r="E38" s="370">
        <v>-9599</v>
      </c>
      <c r="F38" s="22">
        <v>-13148.34042</v>
      </c>
      <c r="G38" s="22">
        <v>-14029</v>
      </c>
      <c r="H38" s="370">
        <v>-13423.999999999998</v>
      </c>
      <c r="I38" s="22">
        <v>-12145</v>
      </c>
      <c r="J38" s="22">
        <v>-11276</v>
      </c>
      <c r="K38" s="22">
        <v>-12236</v>
      </c>
      <c r="L38" s="22">
        <v>-11049</v>
      </c>
      <c r="M38" s="22">
        <v>-8871</v>
      </c>
      <c r="N38" s="22">
        <v>-9751</v>
      </c>
      <c r="O38" s="22">
        <v>-9580</v>
      </c>
      <c r="P38" s="22">
        <v>-10537</v>
      </c>
      <c r="Q38" s="22">
        <v>-11414</v>
      </c>
      <c r="R38" s="22">
        <v>-2683</v>
      </c>
      <c r="S38" s="22">
        <v>-3062</v>
      </c>
      <c r="T38" s="62">
        <f>IFERROR(S38/R38-1,0)</f>
        <v>0.14125978382407745</v>
      </c>
      <c r="U38" s="89">
        <f>S38-R38</f>
        <v>-379</v>
      </c>
      <c r="V38" s="22">
        <v>-2841</v>
      </c>
      <c r="W38" s="22"/>
      <c r="X38" s="62">
        <f>IFERROR(W38/V38-1,0)</f>
        <v>-1</v>
      </c>
      <c r="Y38" s="89">
        <f>W38-V38</f>
        <v>2841</v>
      </c>
      <c r="Z38" s="22">
        <v>-2883</v>
      </c>
      <c r="AA38" s="22"/>
      <c r="AB38" s="55">
        <f t="shared" ref="AB38:AB43" si="37">AA38/Z38-1</f>
        <v>-1</v>
      </c>
      <c r="AC38" s="89">
        <f t="shared" ref="AC38:AC50" si="38">AA38-Z38</f>
        <v>2883</v>
      </c>
      <c r="AD38" s="22">
        <v>-3007</v>
      </c>
      <c r="AE38" s="22"/>
      <c r="AF38" s="55">
        <f>AE38/AD38-1</f>
        <v>-1</v>
      </c>
      <c r="AG38" s="89">
        <f t="shared" ref="AG38:AG43" si="39">AE38-AD38</f>
        <v>3007</v>
      </c>
      <c r="AH38" s="22">
        <f t="shared" ref="AH38:AH43" si="40">R38</f>
        <v>-2683</v>
      </c>
      <c r="AI38" s="22">
        <f t="shared" ref="AI38:AI43" si="41">S38+W38+AA38+AE38</f>
        <v>-3062</v>
      </c>
      <c r="AJ38" s="55">
        <f>IFERROR(AI38/AH38-1,0)</f>
        <v>0.14125978382407745</v>
      </c>
      <c r="AK38" s="89">
        <f>AI38-AH38</f>
        <v>-379</v>
      </c>
    </row>
    <row r="39" spans="1:37">
      <c r="A39" s="322" t="s">
        <v>482</v>
      </c>
      <c r="B39" s="313"/>
      <c r="C39" s="369">
        <v>7189</v>
      </c>
      <c r="D39" s="370">
        <v>11074</v>
      </c>
      <c r="E39" s="370">
        <v>13116</v>
      </c>
      <c r="F39" s="22">
        <v>16594.183259999998</v>
      </c>
      <c r="G39" s="22">
        <v>39829.427649999998</v>
      </c>
      <c r="H39" s="370">
        <v>60361.674559999999</v>
      </c>
      <c r="I39" s="22">
        <v>30370.459159999999</v>
      </c>
      <c r="J39" s="22">
        <v>70839.439969999978</v>
      </c>
      <c r="K39" s="22">
        <v>32650.937389999999</v>
      </c>
      <c r="L39" s="22">
        <v>51557</v>
      </c>
      <c r="M39" s="22">
        <v>7381.5167577351585</v>
      </c>
      <c r="N39" s="22">
        <v>16031.365390000003</v>
      </c>
      <c r="O39" s="22">
        <v>16007.603759999996</v>
      </c>
      <c r="P39" s="22">
        <v>30033.440440000006</v>
      </c>
      <c r="Q39" s="22">
        <v>19401.930299999996</v>
      </c>
      <c r="R39" s="22">
        <v>4007.4419100000005</v>
      </c>
      <c r="S39" s="22">
        <v>5796.502089999999</v>
      </c>
      <c r="T39" s="62">
        <f>IFERROR(S39/R39-1,0)</f>
        <v>0.44643446372501461</v>
      </c>
      <c r="U39" s="89">
        <f>S39-R39</f>
        <v>1789.0601799999986</v>
      </c>
      <c r="V39" s="22">
        <v>6502.6461699999973</v>
      </c>
      <c r="W39" s="22"/>
      <c r="X39" s="62">
        <f>IFERROR(W39/V39-1,0)</f>
        <v>-1</v>
      </c>
      <c r="Y39" s="89">
        <f>W39-V39</f>
        <v>-6502.6461699999973</v>
      </c>
      <c r="Z39" s="22">
        <v>5911.3016199999993</v>
      </c>
      <c r="AA39" s="22"/>
      <c r="AB39" s="55">
        <f t="shared" si="37"/>
        <v>-1</v>
      </c>
      <c r="AC39" s="89">
        <f t="shared" si="38"/>
        <v>-5911.3016199999993</v>
      </c>
      <c r="AD39" s="22">
        <v>2980.5405999999998</v>
      </c>
      <c r="AE39" s="22"/>
      <c r="AF39" s="55">
        <f>AE39/AD39-1</f>
        <v>-1</v>
      </c>
      <c r="AG39" s="89">
        <f t="shared" si="39"/>
        <v>-2980.5405999999998</v>
      </c>
      <c r="AH39" s="22">
        <f t="shared" si="40"/>
        <v>4007.4419100000005</v>
      </c>
      <c r="AI39" s="22">
        <f t="shared" si="41"/>
        <v>5796.502089999999</v>
      </c>
      <c r="AJ39" s="55">
        <f>IFERROR(AI39/AH39-1,0)</f>
        <v>0.44643446372501461</v>
      </c>
      <c r="AK39" s="89">
        <f>AI39-AH39</f>
        <v>1789.0601799999986</v>
      </c>
    </row>
    <row r="40" spans="1:37">
      <c r="A40" s="322" t="s">
        <v>483</v>
      </c>
      <c r="B40" s="313"/>
      <c r="C40" s="369">
        <v>9403</v>
      </c>
      <c r="D40" s="369">
        <v>8960</v>
      </c>
      <c r="E40" s="369">
        <v>10648.179258574701</v>
      </c>
      <c r="F40" s="22">
        <v>14081.99249759946</v>
      </c>
      <c r="G40" s="22">
        <v>17594.58786</v>
      </c>
      <c r="H40" s="370">
        <v>18027.933370203027</v>
      </c>
      <c r="I40" s="22">
        <v>12260.450229373513</v>
      </c>
      <c r="J40" s="22">
        <v>12031.857803829414</v>
      </c>
      <c r="K40" s="22">
        <v>7687.4019227921626</v>
      </c>
      <c r="L40" s="22">
        <v>3071</v>
      </c>
      <c r="M40" s="22">
        <v>4864.4832422648415</v>
      </c>
      <c r="N40" s="22">
        <v>11121.449176155087</v>
      </c>
      <c r="O40" s="22">
        <v>14633.584358987637</v>
      </c>
      <c r="P40" s="22">
        <v>13369.902473635977</v>
      </c>
      <c r="Q40" s="22">
        <v>19571.653935144313</v>
      </c>
      <c r="R40" s="22">
        <v>3794.3004044555428</v>
      </c>
      <c r="S40" s="22">
        <v>5866.2456828206205</v>
      </c>
      <c r="T40" s="62">
        <f t="shared" ref="T40:T42" si="42">IFERROR(S40/R40-1,0)</f>
        <v>0.54606780104496977</v>
      </c>
      <c r="U40" s="89">
        <f t="shared" ref="U40:U43" si="43">S40-R40</f>
        <v>2071.9452783650777</v>
      </c>
      <c r="V40" s="22">
        <v>4558.9724094277735</v>
      </c>
      <c r="W40" s="22"/>
      <c r="X40" s="62">
        <f t="shared" ref="X40:X42" si="44">IFERROR(W40/V40-1,0)</f>
        <v>-1</v>
      </c>
      <c r="Y40" s="89">
        <f t="shared" ref="Y40:Y43" si="45">W40-V40</f>
        <v>-4558.9724094277735</v>
      </c>
      <c r="Z40" s="22">
        <v>5175.7201102790395</v>
      </c>
      <c r="AA40" s="22"/>
      <c r="AB40" s="55">
        <f t="shared" si="37"/>
        <v>-1</v>
      </c>
      <c r="AC40" s="89">
        <f t="shared" si="38"/>
        <v>-5175.7201102790395</v>
      </c>
      <c r="AD40" s="22">
        <v>6042.6610109819594</v>
      </c>
      <c r="AE40" s="22"/>
      <c r="AF40" s="55">
        <f>AE40/AD40-1</f>
        <v>-1</v>
      </c>
      <c r="AG40" s="89">
        <f t="shared" si="39"/>
        <v>-6042.6610109819594</v>
      </c>
      <c r="AH40" s="22">
        <f t="shared" si="40"/>
        <v>3794.3004044555428</v>
      </c>
      <c r="AI40" s="22">
        <f t="shared" si="41"/>
        <v>5866.2456828206205</v>
      </c>
      <c r="AJ40" s="55">
        <f t="shared" ref="AJ40:AJ42" si="46">IFERROR(AI40/AH40-1,0)</f>
        <v>0.54606780104496977</v>
      </c>
      <c r="AK40" s="89">
        <f t="shared" ref="AK40:AK43" si="47">AI40-AH40</f>
        <v>2071.9452783650777</v>
      </c>
    </row>
    <row r="41" spans="1:37">
      <c r="A41" s="322" t="s">
        <v>474</v>
      </c>
      <c r="B41" s="313"/>
      <c r="C41" s="369">
        <v>-9288</v>
      </c>
      <c r="D41" s="369">
        <v>-3374</v>
      </c>
      <c r="E41" s="369">
        <v>-29310</v>
      </c>
      <c r="F41" s="22">
        <v>-40568.457139999999</v>
      </c>
      <c r="G41" s="22">
        <v>-58735.880399999995</v>
      </c>
      <c r="H41" s="370">
        <v>-86070.56035</v>
      </c>
      <c r="I41" s="22">
        <v>-45898.370999999999</v>
      </c>
      <c r="J41" s="22">
        <v>-78624.831690000006</v>
      </c>
      <c r="K41" s="22">
        <v>-45516.928039999999</v>
      </c>
      <c r="L41" s="22">
        <v>-78936</v>
      </c>
      <c r="M41" s="22">
        <v>-27277</v>
      </c>
      <c r="N41" s="22">
        <v>-37122.594119999994</v>
      </c>
      <c r="O41" s="22">
        <v>-27125.163770000003</v>
      </c>
      <c r="P41" s="22">
        <v>-25067.360719999997</v>
      </c>
      <c r="Q41" s="22">
        <v>-33998.283589999992</v>
      </c>
      <c r="R41" s="22">
        <v>-7636.7620100000013</v>
      </c>
      <c r="S41" s="22">
        <v>-10593.318699999998</v>
      </c>
      <c r="T41" s="62">
        <f t="shared" si="42"/>
        <v>0.38714794125160856</v>
      </c>
      <c r="U41" s="89">
        <f t="shared" si="43"/>
        <v>-2956.5566899999967</v>
      </c>
      <c r="V41" s="22">
        <v>-11048.701899999996</v>
      </c>
      <c r="W41" s="22"/>
      <c r="X41" s="62">
        <f t="shared" si="44"/>
        <v>-1</v>
      </c>
      <c r="Y41" s="89">
        <f t="shared" si="45"/>
        <v>11048.701899999996</v>
      </c>
      <c r="Z41" s="22">
        <v>-9441.7076799999959</v>
      </c>
      <c r="AA41" s="22"/>
      <c r="AB41" s="55">
        <f t="shared" si="37"/>
        <v>-1</v>
      </c>
      <c r="AC41" s="89">
        <f t="shared" si="38"/>
        <v>9441.7076799999959</v>
      </c>
      <c r="AD41" s="22">
        <v>-5871.1119999999992</v>
      </c>
      <c r="AE41" s="22"/>
      <c r="AF41" s="55">
        <f>AE41/AD41-1</f>
        <v>-1</v>
      </c>
      <c r="AG41" s="89">
        <f t="shared" si="39"/>
        <v>5871.1119999999992</v>
      </c>
      <c r="AH41" s="22">
        <f t="shared" si="40"/>
        <v>-7636.7620100000013</v>
      </c>
      <c r="AI41" s="22">
        <f t="shared" si="41"/>
        <v>-10593.318699999998</v>
      </c>
      <c r="AJ41" s="55">
        <f t="shared" si="46"/>
        <v>0.38714794125160856</v>
      </c>
      <c r="AK41" s="89">
        <f t="shared" si="47"/>
        <v>-2956.5566899999967</v>
      </c>
    </row>
    <row r="42" spans="1:37">
      <c r="A42" s="322" t="s">
        <v>484</v>
      </c>
      <c r="B42" s="313"/>
      <c r="C42" s="370">
        <v>-2070</v>
      </c>
      <c r="D42" s="371">
        <v>-6459</v>
      </c>
      <c r="E42" s="371">
        <v>-7106.2640999999985</v>
      </c>
      <c r="F42" s="22">
        <v>-7079.9619980000007</v>
      </c>
      <c r="G42" s="22">
        <v>-7222.3714499999996</v>
      </c>
      <c r="H42" s="370">
        <v>178.67804999999998</v>
      </c>
      <c r="I42" s="22">
        <v>0</v>
      </c>
      <c r="J42" s="22">
        <v>0</v>
      </c>
      <c r="K42" s="22">
        <v>-7.1155999999999997</v>
      </c>
      <c r="L42" s="22">
        <v>-1892</v>
      </c>
      <c r="M42" s="22">
        <v>-1567.9252200000001</v>
      </c>
      <c r="N42" s="22">
        <v>-6822.4998500000002</v>
      </c>
      <c r="O42" s="22">
        <v>-2620.7553816129998</v>
      </c>
      <c r="P42" s="22">
        <v>-11520.847135410999</v>
      </c>
      <c r="Q42" s="22">
        <v>-9586.8514999999989</v>
      </c>
      <c r="R42" s="22">
        <f>R31</f>
        <v>-6079.5761400000001</v>
      </c>
      <c r="S42" s="22">
        <v>-3479</v>
      </c>
      <c r="T42" s="62">
        <f t="shared" si="42"/>
        <v>-0.42775615932988387</v>
      </c>
      <c r="U42" s="89">
        <f t="shared" si="43"/>
        <v>2600.5761400000001</v>
      </c>
      <c r="V42" s="22">
        <v>-6053.87554</v>
      </c>
      <c r="W42" s="22"/>
      <c r="X42" s="62">
        <f t="shared" si="44"/>
        <v>-1</v>
      </c>
      <c r="Y42" s="89">
        <f t="shared" si="45"/>
        <v>6053.87554</v>
      </c>
      <c r="Z42" s="22">
        <v>4508.4583600000005</v>
      </c>
      <c r="AA42" s="22"/>
      <c r="AB42" s="55">
        <f t="shared" si="37"/>
        <v>-1</v>
      </c>
      <c r="AC42" s="89">
        <f t="shared" si="38"/>
        <v>-4508.4583600000005</v>
      </c>
      <c r="AD42" s="22">
        <v>-1961.8581799999999</v>
      </c>
      <c r="AE42" s="22"/>
      <c r="AF42" s="55"/>
      <c r="AG42" s="89">
        <f t="shared" si="39"/>
        <v>1961.8581799999999</v>
      </c>
      <c r="AH42" s="22">
        <f t="shared" si="40"/>
        <v>-6079.5761400000001</v>
      </c>
      <c r="AI42" s="22">
        <f t="shared" si="41"/>
        <v>-3479</v>
      </c>
      <c r="AJ42" s="55">
        <f t="shared" si="46"/>
        <v>-0.42775615932988387</v>
      </c>
      <c r="AK42" s="89">
        <f t="shared" si="47"/>
        <v>2600.5761400000001</v>
      </c>
    </row>
    <row r="43" spans="1:37">
      <c r="A43" s="322" t="s">
        <v>485</v>
      </c>
      <c r="B43" s="313"/>
      <c r="C43" s="369">
        <v>-10855</v>
      </c>
      <c r="D43" s="369">
        <v>-11196</v>
      </c>
      <c r="E43" s="369">
        <v>-4178</v>
      </c>
      <c r="F43" s="22">
        <v>-1908.3374199999998</v>
      </c>
      <c r="G43" s="22">
        <v>-1818.1681300000002</v>
      </c>
      <c r="H43" s="370">
        <v>-3969.3795699999991</v>
      </c>
      <c r="I43" s="22">
        <v>3187.1885900000002</v>
      </c>
      <c r="J43" s="22">
        <v>13022.907749999993</v>
      </c>
      <c r="K43" s="22">
        <v>9172.2312099999999</v>
      </c>
      <c r="L43" s="22">
        <v>7653</v>
      </c>
      <c r="M43" s="22">
        <v>-5967.9754800000001</v>
      </c>
      <c r="N43" s="22">
        <v>1115.0376599999995</v>
      </c>
      <c r="O43" s="22">
        <v>-6397.8176800000001</v>
      </c>
      <c r="P43" s="22">
        <v>-8747.6322700000019</v>
      </c>
      <c r="Q43" s="22">
        <v>1240.1715400000003</v>
      </c>
      <c r="R43" s="22">
        <f>R32</f>
        <v>5360.7877100000005</v>
      </c>
      <c r="S43" s="22">
        <v>2958.5984400000011</v>
      </c>
      <c r="T43" s="62">
        <f>IFERROR(S43/R43-1,0)</f>
        <v>-0.44810378622510294</v>
      </c>
      <c r="U43" s="89">
        <f t="shared" si="43"/>
        <v>-2402.1892699999994</v>
      </c>
      <c r="V43" s="22">
        <v>1857.0732099999998</v>
      </c>
      <c r="W43" s="22"/>
      <c r="X43" s="62">
        <f>IFERROR(W43/V43-1,0)</f>
        <v>-1</v>
      </c>
      <c r="Y43" s="89">
        <f t="shared" si="45"/>
        <v>-1857.0732099999998</v>
      </c>
      <c r="Z43" s="22">
        <v>-3160.7118799999998</v>
      </c>
      <c r="AA43" s="22"/>
      <c r="AB43" s="55">
        <f t="shared" si="37"/>
        <v>-1</v>
      </c>
      <c r="AC43" s="89">
        <f t="shared" si="38"/>
        <v>3160.7118799999998</v>
      </c>
      <c r="AD43" s="22">
        <v>-2816.9775</v>
      </c>
      <c r="AE43" s="22"/>
      <c r="AF43" s="55">
        <f>AE43/AD43-1</f>
        <v>-1</v>
      </c>
      <c r="AG43" s="89">
        <f t="shared" si="39"/>
        <v>2816.9775</v>
      </c>
      <c r="AH43" s="22">
        <f t="shared" si="40"/>
        <v>5360.7877100000005</v>
      </c>
      <c r="AI43" s="22">
        <f t="shared" si="41"/>
        <v>2958.5984400000011</v>
      </c>
      <c r="AJ43" s="55">
        <f>IFERROR(AI43/AH43-1,0)</f>
        <v>-0.44810378622510294</v>
      </c>
      <c r="AK43" s="89">
        <f t="shared" si="47"/>
        <v>-2402.1892699999994</v>
      </c>
    </row>
    <row r="44" spans="1:37">
      <c r="A44" s="307" t="s">
        <v>54</v>
      </c>
      <c r="B44" s="308"/>
      <c r="C44" s="362">
        <f>C35-SUM(C38:C43)</f>
        <v>97725</v>
      </c>
      <c r="D44" s="362">
        <f t="shared" ref="D44:L44" si="48">D35-SUM(D38:D43)</f>
        <v>70184</v>
      </c>
      <c r="E44" s="362">
        <f t="shared" si="48"/>
        <v>57951.084841425298</v>
      </c>
      <c r="F44" s="362">
        <f t="shared" si="48"/>
        <v>78256.921220400545</v>
      </c>
      <c r="G44" s="362">
        <f t="shared" si="48"/>
        <v>46396.404469999994</v>
      </c>
      <c r="H44" s="362">
        <f t="shared" si="48"/>
        <v>22959.628080100942</v>
      </c>
      <c r="I44" s="362">
        <f t="shared" si="48"/>
        <v>140.88288430401917</v>
      </c>
      <c r="J44" s="362">
        <f t="shared" si="48"/>
        <v>8375.8018714157861</v>
      </c>
      <c r="K44" s="362">
        <f t="shared" si="48"/>
        <v>-114404.52688279217</v>
      </c>
      <c r="L44" s="362">
        <f t="shared" si="48"/>
        <v>1433</v>
      </c>
      <c r="M44" s="362">
        <v>59518.578614169382</v>
      </c>
      <c r="N44" s="362">
        <v>65350.858000146785</v>
      </c>
      <c r="O44" s="362">
        <v>71294.746432698041</v>
      </c>
      <c r="P44" s="8">
        <f>P35-SUM(P38:P43)</f>
        <v>77302.497211775015</v>
      </c>
      <c r="Q44" s="8">
        <f>Q35-SUM(Q38:Q43)</f>
        <v>86261.243604576797</v>
      </c>
      <c r="R44" s="8">
        <f>R35-SUM(R38:R43)</f>
        <v>7723.7564852264186</v>
      </c>
      <c r="S44" s="8">
        <f>S35-SUM(S38:S43)</f>
        <v>8999.739410630762</v>
      </c>
      <c r="T44" s="58">
        <f>IFERROR(S44/R44-1,0)</f>
        <v>0.1652023763106687</v>
      </c>
      <c r="U44" s="88">
        <f>S44-R44</f>
        <v>1275.9829254043434</v>
      </c>
      <c r="V44" s="8">
        <f>V35-SUM(V38:V43)</f>
        <v>26120.741209674197</v>
      </c>
      <c r="W44" s="8">
        <f>W35-SUM(W38:W43)</f>
        <v>0</v>
      </c>
      <c r="X44" s="58">
        <f>IFERROR(W44/V44-1,0)</f>
        <v>-1</v>
      </c>
      <c r="Y44" s="88">
        <f>W44-V44</f>
        <v>-26120.741209674197</v>
      </c>
      <c r="Z44" s="8">
        <f>Z35-SUM(Z38:Z43)</f>
        <v>18691.455137536366</v>
      </c>
      <c r="AA44" s="8">
        <f>AA35-SUM(AA38:AA43)</f>
        <v>0</v>
      </c>
      <c r="AB44" s="58">
        <f>IFERROR(AA44/Z44-1,0)</f>
        <v>-1</v>
      </c>
      <c r="AC44" s="88">
        <f>AA44-Z44</f>
        <v>-18691.455137536366</v>
      </c>
      <c r="AD44" s="8">
        <v>33727.290772139786</v>
      </c>
      <c r="AE44" s="8">
        <f>AE35-SUM(AE38:AE43)</f>
        <v>1</v>
      </c>
      <c r="AF44" s="58">
        <f>IFERROR(AE44/AD44-1,0)</f>
        <v>-0.9999703504201759</v>
      </c>
      <c r="AG44" s="88">
        <f>AE44-AD44</f>
        <v>-33726.290772139786</v>
      </c>
      <c r="AH44" s="8">
        <f>AH35-SUM(AH38:AH43)</f>
        <v>7723.7564852264186</v>
      </c>
      <c r="AI44" s="8">
        <f>AI35-SUM(AI38:AI43)</f>
        <v>8999.739410630762</v>
      </c>
      <c r="AJ44" s="58">
        <f>IFERROR(AI44/AH44-1,0)</f>
        <v>0.1652023763106687</v>
      </c>
      <c r="AK44" s="88">
        <f>AI44-AH44</f>
        <v>1275.9829254043434</v>
      </c>
    </row>
    <row r="45" spans="1:37">
      <c r="A45" s="338" t="s">
        <v>486</v>
      </c>
      <c r="B45" s="341"/>
      <c r="C45" s="372">
        <v>22621</v>
      </c>
      <c r="D45" s="372">
        <v>1706.677077851524</v>
      </c>
      <c r="E45" s="372">
        <v>-799.577</v>
      </c>
      <c r="F45" s="22">
        <v>-1206.526360097015</v>
      </c>
      <c r="G45" s="22">
        <v>-63.302908076515223</v>
      </c>
      <c r="H45" s="372">
        <v>-1883.306</v>
      </c>
      <c r="I45" s="22">
        <v>-2125.4444765631001</v>
      </c>
      <c r="J45" s="22">
        <v>-963.05533319572203</v>
      </c>
      <c r="K45" s="22">
        <v>-9653.600019999998</v>
      </c>
      <c r="L45" s="22">
        <v>1612</v>
      </c>
      <c r="M45" s="22">
        <v>-2857</v>
      </c>
      <c r="N45" s="22">
        <v>-3656</v>
      </c>
      <c r="O45" s="22">
        <v>-2805.5360900000001</v>
      </c>
      <c r="P45" s="22">
        <v>-1784.0140200000001</v>
      </c>
      <c r="Q45" s="22">
        <v>-2870.6084300000002</v>
      </c>
      <c r="R45" s="22">
        <v>-598.73218000000008</v>
      </c>
      <c r="S45" s="22">
        <v>-451.53978000000001</v>
      </c>
      <c r="T45" s="62">
        <f>IFERROR(S45/R45-1,0)</f>
        <v>-0.24584013506673397</v>
      </c>
      <c r="U45" s="89">
        <f t="shared" ref="U45:U51" si="49">S45-R45</f>
        <v>147.19240000000008</v>
      </c>
      <c r="V45" s="22">
        <v>-483.44676999999996</v>
      </c>
      <c r="W45" s="22"/>
      <c r="X45" s="62">
        <f>IFERROR(W45/V45-1,0)</f>
        <v>-1</v>
      </c>
      <c r="Y45" s="89">
        <f t="shared" ref="Y45:Y51" si="50">W45-V45</f>
        <v>483.44676999999996</v>
      </c>
      <c r="Z45" s="22">
        <v>-607.02332000000001</v>
      </c>
      <c r="AA45" s="22"/>
      <c r="AB45" s="55">
        <f>AA45/Z45-1</f>
        <v>-1</v>
      </c>
      <c r="AC45" s="89">
        <f t="shared" si="38"/>
        <v>607.02332000000001</v>
      </c>
      <c r="AD45" s="22">
        <v>-1181.4061600000002</v>
      </c>
      <c r="AE45" s="22"/>
      <c r="AF45" s="55">
        <f>AE45/AD45-1</f>
        <v>-1</v>
      </c>
      <c r="AG45" s="89">
        <f t="shared" ref="AG45:AG50" si="51">AE45-AD45</f>
        <v>1181.4061600000002</v>
      </c>
      <c r="AH45" s="22">
        <f>R45</f>
        <v>-598.73218000000008</v>
      </c>
      <c r="AI45" s="22">
        <f t="shared" ref="AI45:AI47" si="52">S45+W45+AA45+AE45</f>
        <v>-451.53978000000001</v>
      </c>
      <c r="AJ45" s="55">
        <f>IFERROR(AI45/AH45-1,0)</f>
        <v>-0.24584013506673397</v>
      </c>
      <c r="AK45" s="89">
        <f t="shared" ref="AK45:AK50" si="53">AI45-AH45</f>
        <v>147.19240000000008</v>
      </c>
    </row>
    <row r="46" spans="1:37">
      <c r="A46" s="339" t="s">
        <v>487</v>
      </c>
      <c r="B46" s="340"/>
      <c r="C46" s="372">
        <v>7150</v>
      </c>
      <c r="D46" s="372">
        <v>-1159.8243400000001</v>
      </c>
      <c r="E46" s="372">
        <v>-11678.14939</v>
      </c>
      <c r="F46" s="22">
        <v>1037.0412756000001</v>
      </c>
      <c r="G46" s="22">
        <v>-19758.476630000001</v>
      </c>
      <c r="H46" s="372">
        <v>-1616.67</v>
      </c>
      <c r="I46" s="22">
        <v>-6900</v>
      </c>
      <c r="J46" s="22">
        <v>-19498</v>
      </c>
      <c r="K46" s="22">
        <v>-1528</v>
      </c>
      <c r="L46" s="22">
        <v>-2639</v>
      </c>
      <c r="M46" s="22">
        <v>4568</v>
      </c>
      <c r="N46" s="22">
        <v>0</v>
      </c>
      <c r="O46" s="22">
        <v>1653</v>
      </c>
      <c r="P46" s="22">
        <v>0</v>
      </c>
      <c r="Q46" s="22">
        <v>0</v>
      </c>
      <c r="R46" s="22">
        <v>0</v>
      </c>
      <c r="S46" s="22">
        <v>0</v>
      </c>
      <c r="T46" s="62">
        <f>IFERROR(S46/R46-1,0)</f>
        <v>0</v>
      </c>
      <c r="U46" s="89">
        <f t="shared" si="49"/>
        <v>0</v>
      </c>
      <c r="V46" s="22"/>
      <c r="W46" s="22"/>
      <c r="X46" s="62">
        <f>IFERROR(W46/V46-1,0)</f>
        <v>0</v>
      </c>
      <c r="Y46" s="89">
        <f t="shared" si="50"/>
        <v>0</v>
      </c>
      <c r="Z46" s="22"/>
      <c r="AA46" s="22"/>
      <c r="AB46" s="55">
        <f>IFERROR(AA46/Z46-1,0)</f>
        <v>0</v>
      </c>
      <c r="AC46" s="89">
        <f t="shared" si="38"/>
        <v>0</v>
      </c>
      <c r="AD46" s="22">
        <v>0</v>
      </c>
      <c r="AE46" s="22"/>
      <c r="AF46" s="55">
        <f>IFERROR(AE46/AD46-1,0)</f>
        <v>0</v>
      </c>
      <c r="AG46" s="89">
        <f t="shared" si="51"/>
        <v>0</v>
      </c>
      <c r="AH46" s="22">
        <f>R46</f>
        <v>0</v>
      </c>
      <c r="AI46" s="22">
        <f t="shared" si="52"/>
        <v>0</v>
      </c>
      <c r="AJ46" s="55">
        <f>IFERROR(AI46/AH46-1,0)</f>
        <v>0</v>
      </c>
      <c r="AK46" s="89">
        <f t="shared" si="53"/>
        <v>0</v>
      </c>
    </row>
    <row r="47" spans="1:37">
      <c r="A47" s="339" t="s">
        <v>488</v>
      </c>
      <c r="B47" s="340"/>
      <c r="C47" s="369">
        <v>0</v>
      </c>
      <c r="D47" s="372">
        <v>0</v>
      </c>
      <c r="E47" s="369">
        <v>-743.67</v>
      </c>
      <c r="F47" s="22">
        <v>-1509.1870000000001</v>
      </c>
      <c r="G47" s="22">
        <v>5375.1013999999996</v>
      </c>
      <c r="H47" s="372">
        <v>0</v>
      </c>
      <c r="I47" s="22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62">
        <f>IFERROR(S47/R47-1,0)</f>
        <v>0</v>
      </c>
      <c r="U47" s="89">
        <f t="shared" si="49"/>
        <v>0</v>
      </c>
      <c r="V47" s="22"/>
      <c r="W47" s="22"/>
      <c r="X47" s="62">
        <f>IFERROR(W47/V47-1,0)</f>
        <v>0</v>
      </c>
      <c r="Y47" s="89">
        <f t="shared" si="50"/>
        <v>0</v>
      </c>
      <c r="Z47" s="22"/>
      <c r="AA47" s="22"/>
      <c r="AB47" s="55">
        <f>IFERROR(AA47/Z47-1,0)</f>
        <v>0</v>
      </c>
      <c r="AC47" s="89">
        <f t="shared" si="38"/>
        <v>0</v>
      </c>
      <c r="AD47" s="22">
        <v>0</v>
      </c>
      <c r="AE47" s="22"/>
      <c r="AF47" s="55">
        <f>IFERROR(AE47/AD47-1,0)</f>
        <v>0</v>
      </c>
      <c r="AG47" s="89">
        <f t="shared" si="51"/>
        <v>0</v>
      </c>
      <c r="AH47" s="22">
        <f t="shared" ref="AH47:AH50" si="54">R47</f>
        <v>0</v>
      </c>
      <c r="AI47" s="22">
        <f t="shared" si="52"/>
        <v>0</v>
      </c>
      <c r="AJ47" s="55">
        <f>IFERROR(AI47/AH47-1,0)</f>
        <v>0</v>
      </c>
      <c r="AK47" s="89">
        <f t="shared" si="53"/>
        <v>0</v>
      </c>
    </row>
    <row r="48" spans="1:37">
      <c r="A48" s="339" t="s">
        <v>489</v>
      </c>
      <c r="B48" s="340"/>
      <c r="C48" s="369">
        <v>0</v>
      </c>
      <c r="D48" s="372">
        <v>0</v>
      </c>
      <c r="E48" s="369">
        <v>-4554.58554</v>
      </c>
      <c r="F48" s="22">
        <v>-2635.1899100000001</v>
      </c>
      <c r="G48" s="22">
        <v>-771.45402000000001</v>
      </c>
      <c r="H48" s="372">
        <v>-78.071079999999995</v>
      </c>
      <c r="I48" s="22">
        <v>-131.54944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62">
        <f t="shared" ref="T48:T51" si="55">IFERROR(S48/R48-1,0)</f>
        <v>0</v>
      </c>
      <c r="U48" s="89">
        <f t="shared" si="49"/>
        <v>0</v>
      </c>
      <c r="V48" s="22"/>
      <c r="W48" s="22"/>
      <c r="X48" s="62">
        <f t="shared" ref="X48:X51" si="56">IFERROR(W48/V48-1,0)</f>
        <v>0</v>
      </c>
      <c r="Y48" s="89">
        <f t="shared" si="50"/>
        <v>0</v>
      </c>
      <c r="Z48" s="22"/>
      <c r="AA48" s="22"/>
      <c r="AB48" s="55">
        <f t="shared" ref="AB48:AB49" si="57">IFERROR(AA48/Z48-1,0)</f>
        <v>0</v>
      </c>
      <c r="AC48" s="89">
        <f t="shared" si="38"/>
        <v>0</v>
      </c>
      <c r="AD48" s="22">
        <v>0</v>
      </c>
      <c r="AE48" s="22"/>
      <c r="AF48" s="55">
        <f t="shared" ref="AF48:AF49" si="58">IFERROR(AE48/AD48-1,0)</f>
        <v>0</v>
      </c>
      <c r="AG48" s="89">
        <f t="shared" si="51"/>
        <v>0</v>
      </c>
      <c r="AH48" s="22">
        <f t="shared" si="54"/>
        <v>0</v>
      </c>
      <c r="AI48" s="22">
        <f t="shared" ref="AI48" si="59">S48+W48+AA48+AE48</f>
        <v>0</v>
      </c>
      <c r="AJ48" s="55">
        <f t="shared" ref="AJ48:AJ50" si="60">IFERROR(AI48/AH48-1,0)</f>
        <v>0</v>
      </c>
      <c r="AK48" s="89">
        <f t="shared" si="53"/>
        <v>0</v>
      </c>
    </row>
    <row r="49" spans="1:37">
      <c r="A49" s="322" t="s">
        <v>490</v>
      </c>
      <c r="B49" s="313"/>
      <c r="C49" s="369">
        <v>-877</v>
      </c>
      <c r="D49" s="372">
        <v>0</v>
      </c>
      <c r="E49" s="369">
        <v>0</v>
      </c>
      <c r="F49" s="22">
        <v>0</v>
      </c>
      <c r="G49" s="22">
        <v>0</v>
      </c>
      <c r="H49" s="372"/>
      <c r="I49" s="22">
        <v>-2037.0375099999999</v>
      </c>
      <c r="J49" s="22">
        <v>-1203.26125</v>
      </c>
      <c r="K49" s="22">
        <v>-1402.3747800000001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62">
        <f t="shared" si="55"/>
        <v>0</v>
      </c>
      <c r="U49" s="89">
        <f t="shared" si="49"/>
        <v>0</v>
      </c>
      <c r="V49" s="22"/>
      <c r="W49" s="22"/>
      <c r="X49" s="62">
        <f t="shared" si="56"/>
        <v>0</v>
      </c>
      <c r="Y49" s="89">
        <f t="shared" si="50"/>
        <v>0</v>
      </c>
      <c r="Z49" s="22"/>
      <c r="AA49" s="22"/>
      <c r="AB49" s="55">
        <f t="shared" si="57"/>
        <v>0</v>
      </c>
      <c r="AC49" s="89">
        <f t="shared" si="38"/>
        <v>0</v>
      </c>
      <c r="AD49" s="22">
        <v>0</v>
      </c>
      <c r="AE49" s="22"/>
      <c r="AF49" s="55">
        <f t="shared" si="58"/>
        <v>0</v>
      </c>
      <c r="AG49" s="89">
        <f t="shared" si="51"/>
        <v>0</v>
      </c>
      <c r="AH49" s="22">
        <f t="shared" si="54"/>
        <v>0</v>
      </c>
      <c r="AI49" s="22">
        <f t="shared" ref="AI49:AI51" si="61">S49+W49+AA49+AE49</f>
        <v>0</v>
      </c>
      <c r="AJ49" s="55">
        <f t="shared" si="60"/>
        <v>0</v>
      </c>
      <c r="AK49" s="89">
        <f t="shared" si="53"/>
        <v>0</v>
      </c>
    </row>
    <row r="50" spans="1:37">
      <c r="A50" s="339" t="s">
        <v>491</v>
      </c>
      <c r="B50" s="340"/>
      <c r="C50" s="369">
        <v>-9892</v>
      </c>
      <c r="D50" s="372">
        <v>-2424.9584500000001</v>
      </c>
      <c r="E50" s="369">
        <v>-6241.5990000000002</v>
      </c>
      <c r="F50" s="22">
        <v>-3830.0338200000001</v>
      </c>
      <c r="G50" s="22">
        <v>-4099.9849999999997</v>
      </c>
      <c r="H50" s="372">
        <v>-2997.5649900000003</v>
      </c>
      <c r="I50" s="22">
        <v>-10679.379724250022</v>
      </c>
      <c r="J50" s="22">
        <v>-6287.0451438294149</v>
      </c>
      <c r="K50" s="22">
        <v>-6409.1697784806711</v>
      </c>
      <c r="L50" s="22">
        <v>-3545</v>
      </c>
      <c r="M50" s="22">
        <v>-5372.8296697964197</v>
      </c>
      <c r="N50" s="22">
        <v>-13408.097259245656</v>
      </c>
      <c r="O50" s="22">
        <v>-14275.349873184568</v>
      </c>
      <c r="P50" s="22">
        <v>-14093.200687363358</v>
      </c>
      <c r="Q50" s="22">
        <v>-22586.998975144321</v>
      </c>
      <c r="R50" s="22">
        <v>-3719.2742744555499</v>
      </c>
      <c r="S50" s="22">
        <v>-4570.3681328206221</v>
      </c>
      <c r="T50" s="62">
        <f t="shared" si="55"/>
        <v>0.22883331412541774</v>
      </c>
      <c r="U50" s="89">
        <f t="shared" si="49"/>
        <v>-851.09385836507226</v>
      </c>
      <c r="V50" s="22">
        <v>-5517.3661294277736</v>
      </c>
      <c r="W50" s="22"/>
      <c r="X50" s="62">
        <f t="shared" si="56"/>
        <v>-1</v>
      </c>
      <c r="Y50" s="89">
        <f t="shared" si="50"/>
        <v>5517.3661294277736</v>
      </c>
      <c r="Z50" s="22">
        <v>-5081.2332902790386</v>
      </c>
      <c r="AA50" s="22"/>
      <c r="AB50" s="55">
        <f>AA50/Z50-1</f>
        <v>-1</v>
      </c>
      <c r="AC50" s="89">
        <f t="shared" si="38"/>
        <v>5081.2332902790386</v>
      </c>
      <c r="AD50" s="22">
        <v>-8269.125280981958</v>
      </c>
      <c r="AE50" s="22"/>
      <c r="AF50" s="55">
        <f>AE50/AD50-1</f>
        <v>-1</v>
      </c>
      <c r="AG50" s="89">
        <f t="shared" si="51"/>
        <v>8269.125280981958</v>
      </c>
      <c r="AH50" s="22">
        <f t="shared" si="54"/>
        <v>-3719.2742744555499</v>
      </c>
      <c r="AI50" s="22">
        <f t="shared" si="61"/>
        <v>-4570.3681328206221</v>
      </c>
      <c r="AJ50" s="55">
        <f t="shared" si="60"/>
        <v>0.22883331412541774</v>
      </c>
      <c r="AK50" s="89">
        <f t="shared" si="53"/>
        <v>-851.09385836507226</v>
      </c>
    </row>
    <row r="51" spans="1:37">
      <c r="A51" s="339" t="s">
        <v>492</v>
      </c>
      <c r="B51" s="342"/>
      <c r="C51" s="373">
        <v>0</v>
      </c>
      <c r="D51" s="373">
        <v>-8482.2513770875557</v>
      </c>
      <c r="E51" s="373">
        <v>-12648.48400233217</v>
      </c>
      <c r="F51" s="22">
        <v>-15161.074877599462</v>
      </c>
      <c r="G51" s="22">
        <v>-18342.442920000001</v>
      </c>
      <c r="H51" s="374">
        <v>-16796.437820203028</v>
      </c>
      <c r="I51" s="333"/>
      <c r="J51" s="333">
        <v>28336.202229999999</v>
      </c>
      <c r="K51" s="333">
        <v>-110584.390763918</v>
      </c>
      <c r="L51" s="333">
        <v>0</v>
      </c>
      <c r="M51" s="333">
        <v>0</v>
      </c>
      <c r="N51" s="333">
        <v>0</v>
      </c>
      <c r="O51" s="333">
        <v>0</v>
      </c>
      <c r="P51" s="333">
        <v>0</v>
      </c>
      <c r="Q51" s="333">
        <v>0</v>
      </c>
      <c r="R51" s="22">
        <v>0</v>
      </c>
      <c r="S51" s="22"/>
      <c r="T51" s="334">
        <f t="shared" si="55"/>
        <v>0</v>
      </c>
      <c r="U51" s="335">
        <f t="shared" si="49"/>
        <v>0</v>
      </c>
      <c r="V51" s="333"/>
      <c r="W51" s="333"/>
      <c r="X51" s="334">
        <f t="shared" si="56"/>
        <v>0</v>
      </c>
      <c r="Y51" s="335">
        <f t="shared" si="50"/>
        <v>0</v>
      </c>
      <c r="Z51" s="333"/>
      <c r="AA51" s="333"/>
      <c r="AB51" s="73"/>
      <c r="AC51" s="335"/>
      <c r="AD51" s="333"/>
      <c r="AE51" s="333"/>
      <c r="AF51" s="73"/>
      <c r="AG51" s="335"/>
      <c r="AH51" s="22">
        <f>R51</f>
        <v>0</v>
      </c>
      <c r="AI51" s="22">
        <f t="shared" si="61"/>
        <v>0</v>
      </c>
      <c r="AJ51" s="55">
        <f t="shared" ref="AJ51" si="62">IFERROR(AI51/AH51-1,0)</f>
        <v>0</v>
      </c>
      <c r="AK51" s="89">
        <f t="shared" ref="AK51" si="63">AI51-AH51</f>
        <v>0</v>
      </c>
    </row>
    <row r="52" spans="1:37" ht="15" thickBot="1">
      <c r="A52" s="311" t="s">
        <v>493</v>
      </c>
      <c r="B52" s="312"/>
      <c r="C52" s="375">
        <f>C44-SUM(C45:C51)</f>
        <v>78723</v>
      </c>
      <c r="D52" s="375">
        <f>D44-SUM(D45:D51)</f>
        <v>80544.357089236029</v>
      </c>
      <c r="E52" s="375">
        <f t="shared" ref="E52:G52" si="64">E44-SUM(E45:E51)</f>
        <v>94617.149773757468</v>
      </c>
      <c r="F52" s="375">
        <f>F44-SUM(F45:F51)</f>
        <v>101561.89191249703</v>
      </c>
      <c r="G52" s="375">
        <f t="shared" si="64"/>
        <v>84056.964548076503</v>
      </c>
      <c r="H52" s="375">
        <f>H44-SUM(H45:H51)</f>
        <v>46331.677970303972</v>
      </c>
      <c r="I52" s="375">
        <f t="shared" ref="I52:L52" si="65">I44-SUM(I45:I51)</f>
        <v>22014.294035117142</v>
      </c>
      <c r="J52" s="375">
        <f t="shared" si="65"/>
        <v>7990.9613684409251</v>
      </c>
      <c r="K52" s="375">
        <f t="shared" si="65"/>
        <v>15173.008459606499</v>
      </c>
      <c r="L52" s="375">
        <f t="shared" si="65"/>
        <v>6005</v>
      </c>
      <c r="M52" s="377">
        <v>63180.4082839658</v>
      </c>
      <c r="N52" s="377">
        <v>82414.955259392445</v>
      </c>
      <c r="O52" s="377">
        <v>86722.632395882611</v>
      </c>
      <c r="P52" s="92">
        <f t="shared" ref="P52:Q52" si="66">P44-P45-P50</f>
        <v>93179.711919138383</v>
      </c>
      <c r="Q52" s="92">
        <f t="shared" si="66"/>
        <v>111718.85100972111</v>
      </c>
      <c r="R52" s="92">
        <f>R44-R45-R50</f>
        <v>12041.762939681968</v>
      </c>
      <c r="S52" s="92">
        <f>S44-S45-S50</f>
        <v>14021.647323451383</v>
      </c>
      <c r="T52" s="61">
        <f>S52/R52-1</f>
        <v>0.16441814987446546</v>
      </c>
      <c r="U52" s="91">
        <f>S52-R52</f>
        <v>1979.8843837694149</v>
      </c>
      <c r="V52" s="92">
        <f>V44-V45-V50</f>
        <v>32121.55410910197</v>
      </c>
      <c r="W52" s="92">
        <f>W44-W45-W50</f>
        <v>0</v>
      </c>
      <c r="X52" s="61">
        <f>W52/V52-1</f>
        <v>-1</v>
      </c>
      <c r="Y52" s="91">
        <f>W52-V52</f>
        <v>-32121.55410910197</v>
      </c>
      <c r="Z52" s="92">
        <f>Z44-Z45-Z50</f>
        <v>24379.711747815403</v>
      </c>
      <c r="AA52" s="92">
        <f>AA44-AA45-AA50</f>
        <v>0</v>
      </c>
      <c r="AB52" s="61">
        <f>AA52/Z52-1</f>
        <v>-1</v>
      </c>
      <c r="AC52" s="91">
        <f>AA52-Z52</f>
        <v>-24379.711747815403</v>
      </c>
      <c r="AD52" s="92">
        <v>43177.822213121741</v>
      </c>
      <c r="AE52" s="92">
        <f>AE44-AE45-AE50</f>
        <v>1</v>
      </c>
      <c r="AF52" s="61">
        <f>AE52/AD52-1</f>
        <v>-0.99997683996207443</v>
      </c>
      <c r="AG52" s="91">
        <f>AE52-AD52</f>
        <v>-43176.822213121741</v>
      </c>
      <c r="AH52" s="92">
        <f>AH44-SUM(AH45:AH51)</f>
        <v>12041.762939681968</v>
      </c>
      <c r="AI52" s="92">
        <f>AI44-SUM(AI45:AI51)</f>
        <v>14021.647323451383</v>
      </c>
      <c r="AJ52" s="61">
        <f>AI52/AH52-1</f>
        <v>0.16441814987446546</v>
      </c>
      <c r="AK52" s="91">
        <f>AI52-AH52</f>
        <v>1979.8843837694149</v>
      </c>
    </row>
    <row r="53" spans="1:37">
      <c r="A53" s="309" t="s">
        <v>494</v>
      </c>
      <c r="B53" s="309"/>
      <c r="C53" s="9">
        <f>C52/C8</f>
        <v>0.30043506468724956</v>
      </c>
      <c r="D53" s="9">
        <f t="shared" ref="D53:L53" si="67">D52/D8</f>
        <v>0.25756462483513887</v>
      </c>
      <c r="E53" s="9">
        <f t="shared" si="67"/>
        <v>0.21816477182557248</v>
      </c>
      <c r="F53" s="9">
        <f t="shared" si="67"/>
        <v>0.24565502006975018</v>
      </c>
      <c r="G53" s="9">
        <f t="shared" si="67"/>
        <v>0.21157424003965966</v>
      </c>
      <c r="H53" s="9">
        <f t="shared" si="67"/>
        <v>0.12838777434269893</v>
      </c>
      <c r="I53" s="9">
        <f t="shared" si="67"/>
        <v>6.4733453801847654E-2</v>
      </c>
      <c r="J53" s="9">
        <f t="shared" si="67"/>
        <v>2.6140207184488555E-2</v>
      </c>
      <c r="K53" s="9">
        <f t="shared" si="67"/>
        <v>4.7981491790271676E-2</v>
      </c>
      <c r="L53" s="9">
        <f t="shared" si="67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0.23351500206075482</v>
      </c>
      <c r="R53" s="9">
        <f>R52/R8</f>
        <v>0.13892086451516894</v>
      </c>
      <c r="S53" s="9">
        <f>S52/S8</f>
        <v>0.15366450136685078</v>
      </c>
      <c r="T53" s="9"/>
      <c r="U53" s="51">
        <f>(S53-R53)*100</f>
        <v>1.4743636851681841</v>
      </c>
      <c r="V53" s="9">
        <f>V52/V8</f>
        <v>0.26347878554796217</v>
      </c>
      <c r="W53" s="9" t="e">
        <f>W52/W8</f>
        <v>#DIV/0!</v>
      </c>
      <c r="X53" s="9"/>
      <c r="Y53" s="51" t="e">
        <f>(W53-V53)*100</f>
        <v>#DIV/0!</v>
      </c>
      <c r="Z53" s="9">
        <f>Z52/Z8</f>
        <v>0.22609648539413235</v>
      </c>
      <c r="AA53" s="9" t="e">
        <f>AA52/AA8</f>
        <v>#DIV/0!</v>
      </c>
      <c r="AB53" s="9"/>
      <c r="AC53" s="51" t="e">
        <f>(AA53-Z53)*100</f>
        <v>#DIV/0!</v>
      </c>
      <c r="AD53" s="9">
        <v>0.26653008584502191</v>
      </c>
      <c r="AE53" s="9" t="e">
        <f>AE52/AE8</f>
        <v>#DIV/0!</v>
      </c>
      <c r="AF53" s="9"/>
      <c r="AG53" s="51" t="e">
        <f>(AE53-AD53)*100</f>
        <v>#DIV/0!</v>
      </c>
      <c r="AH53" s="9">
        <f>AH52/AH8</f>
        <v>0.13892086451516894</v>
      </c>
      <c r="AI53" s="9">
        <f>AI52/AI8</f>
        <v>0.15366450136685078</v>
      </c>
      <c r="AJ53" s="9"/>
      <c r="AK53" s="51">
        <f>(AI53-AH53)*100</f>
        <v>1.4743636851681841</v>
      </c>
    </row>
    <row r="54" spans="1:37">
      <c r="W54" s="336"/>
      <c r="AA54" s="336"/>
      <c r="AE54" s="336"/>
    </row>
    <row r="55" spans="1:37">
      <c r="W55" s="336"/>
      <c r="AA55" s="336"/>
      <c r="AE55" s="336"/>
    </row>
    <row r="56" spans="1:37">
      <c r="W56" s="336"/>
      <c r="AA56" s="336"/>
      <c r="AE56" s="336"/>
      <c r="AH56"/>
      <c r="AI56"/>
      <c r="AJ56"/>
      <c r="AK56"/>
    </row>
    <row r="57" spans="1:37">
      <c r="AH57"/>
      <c r="AI57"/>
      <c r="AJ57"/>
      <c r="AK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5"/>
  <cols>
    <col min="1" max="1" width="58.54296875" customWidth="1"/>
    <col min="2" max="2" width="1.54296875" customWidth="1"/>
    <col min="3" max="3" width="10.54296875" bestFit="1" customWidth="1"/>
    <col min="4" max="4" width="1.453125" customWidth="1"/>
    <col min="5" max="5" width="10.90625" customWidth="1"/>
    <col min="6" max="6" width="1.54296875" customWidth="1"/>
    <col min="7" max="7" width="10.54296875" bestFit="1" customWidth="1"/>
    <col min="8" max="8" width="1.08984375" customWidth="1"/>
    <col min="9" max="9" width="9.90625" bestFit="1" customWidth="1"/>
    <col min="10" max="10" width="9.08984375" hidden="1" customWidth="1"/>
    <col min="11" max="11" width="9.54296875" hidden="1" customWidth="1"/>
    <col min="12" max="12" width="11.08984375" hidden="1" customWidth="1"/>
    <col min="13" max="13" width="13.08984375" hidden="1" customWidth="1"/>
    <col min="14" max="14" width="15.54296875" hidden="1" customWidth="1"/>
    <col min="15" max="15" width="9.54296875" hidden="1" customWidth="1"/>
    <col min="16" max="17" width="9.08984375" hidden="1" customWidth="1"/>
    <col min="18" max="18" width="9.90625" hidden="1" customWidth="1"/>
    <col min="19" max="20" width="0" hidden="1" customWidth="1"/>
  </cols>
  <sheetData>
    <row r="1" spans="1:17">
      <c r="A1" t="s">
        <v>315</v>
      </c>
      <c r="L1" t="s">
        <v>316</v>
      </c>
    </row>
    <row r="2" spans="1:17">
      <c r="N2" t="s">
        <v>317</v>
      </c>
      <c r="O2" t="s">
        <v>318</v>
      </c>
      <c r="P2" t="s">
        <v>256</v>
      </c>
    </row>
    <row r="3" spans="1:17" ht="15" thickBot="1">
      <c r="A3" s="232"/>
      <c r="B3" s="233"/>
      <c r="C3" s="414" t="s">
        <v>264</v>
      </c>
      <c r="D3" s="414"/>
      <c r="E3" s="414"/>
      <c r="F3" s="233"/>
      <c r="G3" s="415" t="s">
        <v>265</v>
      </c>
      <c r="H3" s="415"/>
      <c r="I3" s="415"/>
      <c r="L3" t="s">
        <v>319</v>
      </c>
      <c r="N3" s="234">
        <v>-6461</v>
      </c>
      <c r="O3" s="235">
        <v>-11194</v>
      </c>
      <c r="P3" s="234">
        <v>-326</v>
      </c>
    </row>
    <row r="4" spans="1:17" ht="15" thickBot="1">
      <c r="A4" s="232"/>
      <c r="B4" s="233"/>
      <c r="C4" s="233"/>
      <c r="D4" s="236"/>
      <c r="E4" s="237"/>
      <c r="F4" s="233"/>
      <c r="G4" s="232"/>
      <c r="H4" s="236"/>
      <c r="I4" s="238"/>
      <c r="L4" t="s">
        <v>320</v>
      </c>
      <c r="N4" s="234">
        <v>-6461</v>
      </c>
      <c r="O4" s="235">
        <v>-11194</v>
      </c>
      <c r="P4" s="234">
        <v>-326</v>
      </c>
    </row>
    <row r="5" spans="1:17" ht="15" thickBot="1">
      <c r="A5" s="232"/>
      <c r="B5" s="233"/>
      <c r="C5" s="239">
        <v>2014</v>
      </c>
      <c r="D5" s="233"/>
      <c r="E5" s="239">
        <v>2013</v>
      </c>
      <c r="F5" s="233"/>
      <c r="G5" s="239">
        <v>2014</v>
      </c>
      <c r="H5" s="233"/>
      <c r="I5" s="239">
        <v>2013</v>
      </c>
      <c r="L5" t="s">
        <v>321</v>
      </c>
      <c r="M5" t="s">
        <v>322</v>
      </c>
      <c r="N5" s="82">
        <v>5913</v>
      </c>
      <c r="O5" s="82"/>
    </row>
    <row r="6" spans="1:17">
      <c r="A6" s="232"/>
      <c r="B6" s="233"/>
      <c r="C6" s="233"/>
      <c r="D6" s="233"/>
      <c r="E6" s="233"/>
      <c r="F6" s="233"/>
      <c r="G6" s="232"/>
      <c r="H6" s="233"/>
      <c r="I6" s="232"/>
      <c r="M6" s="240" t="s">
        <v>323</v>
      </c>
      <c r="N6" s="241">
        <f>368+79</f>
        <v>447</v>
      </c>
      <c r="O6" s="82" t="s">
        <v>324</v>
      </c>
    </row>
    <row r="7" spans="1:17">
      <c r="A7" s="242" t="s">
        <v>8</v>
      </c>
      <c r="B7" s="233"/>
      <c r="C7" s="233"/>
      <c r="D7" s="233"/>
      <c r="E7" s="233"/>
      <c r="F7" s="233"/>
      <c r="G7" s="232"/>
      <c r="H7" s="233"/>
      <c r="I7" s="232"/>
      <c r="M7" t="s">
        <v>325</v>
      </c>
      <c r="N7" s="82">
        <v>210</v>
      </c>
      <c r="O7" s="82"/>
    </row>
    <row r="8" spans="1:17">
      <c r="A8" s="243" t="s">
        <v>9</v>
      </c>
      <c r="B8" s="233"/>
      <c r="C8" s="244">
        <v>-5403</v>
      </c>
      <c r="D8" s="244"/>
      <c r="E8" s="245">
        <v>-7721</v>
      </c>
      <c r="F8" s="244"/>
      <c r="G8" s="244">
        <v>-3984</v>
      </c>
      <c r="H8" s="244"/>
      <c r="I8" s="245">
        <v>-4678</v>
      </c>
      <c r="M8" t="s">
        <v>326</v>
      </c>
      <c r="N8" s="82"/>
      <c r="O8" s="82"/>
    </row>
    <row r="9" spans="1:17">
      <c r="A9" s="232"/>
      <c r="B9" s="233"/>
      <c r="C9" s="244"/>
      <c r="D9" s="244"/>
      <c r="E9" s="244"/>
      <c r="F9" s="244"/>
      <c r="G9" s="244"/>
      <c r="H9" s="244"/>
      <c r="I9" s="244"/>
      <c r="M9" t="s">
        <v>77</v>
      </c>
      <c r="N9" s="82">
        <f>299-211</f>
        <v>88</v>
      </c>
      <c r="O9" s="82"/>
      <c r="P9" s="234">
        <f>P16+N5+N7+N9</f>
        <v>-39</v>
      </c>
    </row>
    <row r="10" spans="1:17">
      <c r="A10" s="242" t="s">
        <v>10</v>
      </c>
      <c r="B10" s="233"/>
      <c r="C10" s="244"/>
      <c r="D10" s="244"/>
      <c r="E10" s="244"/>
      <c r="F10" s="244"/>
      <c r="G10" s="244"/>
      <c r="H10" s="244"/>
      <c r="I10" s="244"/>
      <c r="N10" s="82">
        <f>SUM(N5:N9)</f>
        <v>6658</v>
      </c>
      <c r="O10" s="82"/>
      <c r="P10" s="234">
        <f>N4+N5+N7</f>
        <v>-338</v>
      </c>
      <c r="Q10" t="s">
        <v>327</v>
      </c>
    </row>
    <row r="11" spans="1:17">
      <c r="A11" s="243" t="s">
        <v>11</v>
      </c>
      <c r="B11" s="233"/>
      <c r="C11" s="244"/>
      <c r="D11" s="244"/>
      <c r="E11" s="244"/>
      <c r="F11" s="244"/>
      <c r="G11" s="244">
        <v>3006</v>
      </c>
      <c r="H11" s="244"/>
      <c r="I11" s="246">
        <v>1670</v>
      </c>
      <c r="J11" s="230" t="s">
        <v>328</v>
      </c>
      <c r="M11" t="s">
        <v>329</v>
      </c>
      <c r="N11" t="s">
        <v>330</v>
      </c>
      <c r="O11">
        <v>5838</v>
      </c>
    </row>
    <row r="12" spans="1:17">
      <c r="A12" s="243" t="s">
        <v>331</v>
      </c>
      <c r="B12" s="233"/>
      <c r="C12" s="244"/>
      <c r="D12" s="244"/>
      <c r="E12" s="244"/>
      <c r="F12" s="244"/>
      <c r="G12" s="244">
        <v>940</v>
      </c>
      <c r="H12" s="244"/>
      <c r="I12" s="247">
        <v>732</v>
      </c>
      <c r="M12" s="240" t="s">
        <v>332</v>
      </c>
      <c r="N12" s="240"/>
    </row>
    <row r="13" spans="1:17">
      <c r="A13" s="243" t="s">
        <v>12</v>
      </c>
      <c r="B13" s="233"/>
      <c r="C13" s="244"/>
      <c r="D13" s="244"/>
      <c r="E13" s="244"/>
      <c r="F13" s="244"/>
      <c r="G13" s="244">
        <v>-874</v>
      </c>
      <c r="H13" s="244"/>
      <c r="I13" s="247">
        <v>602</v>
      </c>
      <c r="M13" s="240" t="s">
        <v>333</v>
      </c>
      <c r="N13" s="240">
        <v>180</v>
      </c>
    </row>
    <row r="14" spans="1:17">
      <c r="A14" s="243" t="s">
        <v>45</v>
      </c>
      <c r="B14" s="233"/>
      <c r="C14" s="244"/>
      <c r="D14" s="244"/>
      <c r="E14" s="244"/>
      <c r="F14" s="244"/>
      <c r="G14" s="244">
        <v>971</v>
      </c>
      <c r="H14" s="244"/>
      <c r="I14" s="246">
        <v>1350</v>
      </c>
      <c r="M14" s="240" t="s">
        <v>334</v>
      </c>
      <c r="N14" s="240">
        <v>28</v>
      </c>
    </row>
    <row r="15" spans="1:17">
      <c r="A15" s="232" t="s">
        <v>13</v>
      </c>
      <c r="B15" s="233"/>
      <c r="C15" s="244"/>
      <c r="D15" s="244"/>
      <c r="E15" s="244"/>
      <c r="F15" s="244"/>
      <c r="G15" s="244">
        <v>-175</v>
      </c>
      <c r="H15" s="244"/>
      <c r="I15" s="247">
        <v>54</v>
      </c>
      <c r="M15" s="240" t="s">
        <v>335</v>
      </c>
      <c r="N15" s="240">
        <v>3</v>
      </c>
    </row>
    <row r="16" spans="1:17">
      <c r="A16" s="248" t="s">
        <v>336</v>
      </c>
      <c r="B16" s="233"/>
      <c r="C16" s="244"/>
      <c r="D16" s="244"/>
      <c r="E16" s="244"/>
      <c r="F16" s="244"/>
      <c r="G16" s="244"/>
      <c r="H16" s="244"/>
      <c r="I16" s="247"/>
      <c r="M16" s="240"/>
      <c r="N16" s="240">
        <f>SUM(N13:N15)</f>
        <v>211</v>
      </c>
      <c r="P16" s="234">
        <f>N4+N16</f>
        <v>-6250</v>
      </c>
    </row>
    <row r="17" spans="1:16">
      <c r="A17" s="243" t="s">
        <v>337</v>
      </c>
      <c r="B17" s="233"/>
      <c r="C17" s="244">
        <v>5189</v>
      </c>
      <c r="D17" s="244"/>
      <c r="E17" s="245">
        <v>7607</v>
      </c>
      <c r="F17" s="244"/>
      <c r="G17" s="244"/>
      <c r="H17" s="244"/>
      <c r="I17" s="247"/>
    </row>
    <row r="18" spans="1:16">
      <c r="A18" s="243" t="s">
        <v>15</v>
      </c>
      <c r="B18" s="233"/>
      <c r="C18" s="244"/>
      <c r="D18" s="244"/>
      <c r="E18" s="245"/>
      <c r="F18" s="244"/>
      <c r="G18" s="244">
        <v>5699</v>
      </c>
      <c r="H18" s="244"/>
      <c r="I18" s="246">
        <v>1138</v>
      </c>
      <c r="M18" t="s">
        <v>338</v>
      </c>
      <c r="N18">
        <v>-712</v>
      </c>
    </row>
    <row r="19" spans="1:16">
      <c r="A19" s="243" t="s">
        <v>339</v>
      </c>
      <c r="B19" s="233"/>
      <c r="C19" s="244"/>
      <c r="D19" s="244"/>
      <c r="E19" s="245"/>
      <c r="F19" s="244"/>
      <c r="G19" s="244">
        <v>1897</v>
      </c>
      <c r="H19" s="244"/>
      <c r="I19" s="212"/>
    </row>
    <row r="20" spans="1:16">
      <c r="A20" s="243" t="s">
        <v>16</v>
      </c>
      <c r="B20" s="233"/>
      <c r="C20" s="244"/>
      <c r="D20" s="244"/>
      <c r="E20" s="244"/>
      <c r="F20" s="244"/>
      <c r="G20" s="244">
        <v>1170</v>
      </c>
      <c r="H20" s="244"/>
      <c r="I20" s="249">
        <v>1353</v>
      </c>
      <c r="M20" t="s">
        <v>340</v>
      </c>
      <c r="N20">
        <v>3857</v>
      </c>
    </row>
    <row r="21" spans="1:16">
      <c r="A21" s="243" t="s">
        <v>17</v>
      </c>
      <c r="B21" s="233"/>
      <c r="C21" s="244"/>
      <c r="D21" s="244"/>
      <c r="E21" s="244">
        <v>1</v>
      </c>
      <c r="F21" s="244"/>
      <c r="G21" s="244">
        <v>5</v>
      </c>
      <c r="H21" s="244"/>
      <c r="I21" s="250">
        <v>71</v>
      </c>
      <c r="J21" s="230" t="s">
        <v>341</v>
      </c>
      <c r="M21" t="s">
        <v>342</v>
      </c>
      <c r="N21">
        <f>130810+22726</f>
        <v>153536</v>
      </c>
    </row>
    <row r="22" spans="1:16">
      <c r="A22" s="232"/>
      <c r="B22" s="233"/>
      <c r="C22" s="244">
        <f>SUM(C8:C21)</f>
        <v>-214</v>
      </c>
      <c r="D22" s="244"/>
      <c r="E22" s="244">
        <f>SUM(E8:E21)</f>
        <v>-113</v>
      </c>
      <c r="F22" s="244"/>
      <c r="G22" s="244">
        <f>SUM(G8:G21)</f>
        <v>8655</v>
      </c>
      <c r="H22" s="244"/>
      <c r="I22" s="244">
        <f>SUM(I8:I21)</f>
        <v>2292</v>
      </c>
      <c r="M22" t="s">
        <v>343</v>
      </c>
      <c r="N22">
        <f>14259+1043</f>
        <v>15302</v>
      </c>
    </row>
    <row r="23" spans="1:16">
      <c r="A23" s="232"/>
      <c r="B23" s="233"/>
      <c r="C23" s="244"/>
      <c r="D23" s="244"/>
      <c r="E23" s="244"/>
      <c r="F23" s="244"/>
      <c r="G23" s="244"/>
      <c r="H23" s="244"/>
      <c r="I23" s="244"/>
      <c r="M23" t="s">
        <v>344</v>
      </c>
      <c r="N23">
        <v>-5426</v>
      </c>
    </row>
    <row r="24" spans="1:16">
      <c r="A24" s="232"/>
      <c r="B24" s="233"/>
      <c r="C24" s="244"/>
      <c r="D24" s="244"/>
      <c r="E24" s="244"/>
      <c r="F24" s="244"/>
      <c r="G24" s="244"/>
      <c r="H24" s="244"/>
      <c r="I24" s="244"/>
      <c r="K24">
        <v>8171</v>
      </c>
      <c r="L24" t="s">
        <v>345</v>
      </c>
      <c r="M24" t="s">
        <v>346</v>
      </c>
      <c r="N24">
        <v>-755</v>
      </c>
    </row>
    <row r="25" spans="1:16">
      <c r="A25" s="242" t="s">
        <v>18</v>
      </c>
      <c r="B25" s="233"/>
      <c r="C25" s="244"/>
      <c r="D25" s="244"/>
      <c r="E25" s="244"/>
      <c r="F25" s="244"/>
      <c r="G25" s="244"/>
      <c r="H25" s="244"/>
      <c r="I25" s="244"/>
      <c r="K25" t="s">
        <v>347</v>
      </c>
      <c r="M25" t="s">
        <v>348</v>
      </c>
      <c r="N25">
        <v>-2464</v>
      </c>
    </row>
    <row r="26" spans="1:16">
      <c r="A26" s="243" t="s">
        <v>349</v>
      </c>
      <c r="B26" s="233"/>
      <c r="C26" s="244">
        <v>0</v>
      </c>
      <c r="D26" s="244"/>
      <c r="E26" s="244"/>
      <c r="F26" s="244"/>
      <c r="G26" s="244">
        <v>42846</v>
      </c>
      <c r="H26" s="244"/>
      <c r="I26" s="251">
        <v>15554</v>
      </c>
      <c r="J26" s="50"/>
      <c r="K26" s="82">
        <v>-27574</v>
      </c>
      <c r="L26" s="234">
        <v>15554</v>
      </c>
      <c r="M26" t="s">
        <v>77</v>
      </c>
      <c r="O26" t="s">
        <v>350</v>
      </c>
      <c r="P26" t="s">
        <v>351</v>
      </c>
    </row>
    <row r="27" spans="1:16">
      <c r="A27" s="243" t="s">
        <v>19</v>
      </c>
      <c r="B27" s="233"/>
      <c r="C27" s="244">
        <v>0</v>
      </c>
      <c r="D27" s="244"/>
      <c r="E27" s="244"/>
      <c r="F27" s="244"/>
      <c r="G27" s="244">
        <v>-21961</v>
      </c>
      <c r="H27" s="244"/>
      <c r="I27" s="251">
        <v>-34112</v>
      </c>
      <c r="J27" s="50"/>
      <c r="K27" s="82">
        <v>-32816</v>
      </c>
      <c r="L27" s="234">
        <v>-34112</v>
      </c>
      <c r="M27" t="s">
        <v>352</v>
      </c>
      <c r="O27">
        <v>83</v>
      </c>
    </row>
    <row r="28" spans="1:16">
      <c r="A28" s="243" t="s">
        <v>20</v>
      </c>
      <c r="B28" s="233"/>
      <c r="C28" s="244">
        <v>-21</v>
      </c>
      <c r="D28" s="244"/>
      <c r="E28" s="252">
        <v>-50</v>
      </c>
      <c r="F28" s="244"/>
      <c r="G28" s="244">
        <v>-755</v>
      </c>
      <c r="H28" s="244"/>
      <c r="I28" s="252">
        <v>-876</v>
      </c>
      <c r="J28" s="50"/>
      <c r="K28" s="253">
        <v>-1294</v>
      </c>
      <c r="L28" s="234">
        <v>-876</v>
      </c>
      <c r="M28" t="s">
        <v>353</v>
      </c>
      <c r="O28">
        <f>630</f>
        <v>630</v>
      </c>
    </row>
    <row r="29" spans="1:16">
      <c r="A29" s="243" t="s">
        <v>53</v>
      </c>
      <c r="B29" s="233"/>
      <c r="C29" s="244">
        <v>248</v>
      </c>
      <c r="D29" s="244"/>
      <c r="E29" s="251">
        <v>-2019</v>
      </c>
      <c r="F29" s="244"/>
      <c r="G29" s="244">
        <v>-1753</v>
      </c>
      <c r="H29" s="244"/>
      <c r="I29" s="251">
        <v>-5569</v>
      </c>
      <c r="J29" s="50"/>
      <c r="K29" s="82">
        <v>-3440</v>
      </c>
      <c r="L29" s="234">
        <v>-5569</v>
      </c>
      <c r="M29" t="s">
        <v>97</v>
      </c>
      <c r="O29">
        <v>8</v>
      </c>
    </row>
    <row r="30" spans="1:16">
      <c r="A30" s="243" t="s">
        <v>21</v>
      </c>
      <c r="B30" s="233"/>
      <c r="C30" s="244">
        <v>35</v>
      </c>
      <c r="D30" s="244"/>
      <c r="E30" s="252">
        <v>-75</v>
      </c>
      <c r="F30" s="244"/>
      <c r="G30" s="244">
        <v>5542</v>
      </c>
      <c r="H30" s="244"/>
      <c r="I30" s="251">
        <v>1512</v>
      </c>
      <c r="J30" s="50"/>
      <c r="K30" s="82">
        <f>1639+451</f>
        <v>2090</v>
      </c>
      <c r="L30" s="234">
        <v>1512</v>
      </c>
      <c r="M30" t="s">
        <v>354</v>
      </c>
      <c r="O30">
        <v>31</v>
      </c>
    </row>
    <row r="31" spans="1:16">
      <c r="A31" s="243" t="s">
        <v>355</v>
      </c>
      <c r="B31" s="233"/>
      <c r="C31" s="244">
        <v>0</v>
      </c>
      <c r="D31" s="244"/>
      <c r="E31" s="252">
        <v>3</v>
      </c>
      <c r="F31" s="244"/>
      <c r="G31" s="244">
        <v>-1893</v>
      </c>
      <c r="H31" s="244"/>
      <c r="I31" s="251">
        <v>2318</v>
      </c>
      <c r="J31" s="50"/>
      <c r="K31" s="82">
        <v>1863</v>
      </c>
      <c r="L31" s="234">
        <v>2318</v>
      </c>
      <c r="M31" t="s">
        <v>130</v>
      </c>
      <c r="O31">
        <v>315</v>
      </c>
    </row>
    <row r="32" spans="1:16">
      <c r="A32" s="243" t="s">
        <v>22</v>
      </c>
      <c r="B32" s="233"/>
      <c r="C32" s="254">
        <v>0</v>
      </c>
      <c r="D32" s="255"/>
      <c r="E32" s="256">
        <v>3</v>
      </c>
      <c r="F32" s="255"/>
      <c r="G32" s="254">
        <v>-3024</v>
      </c>
      <c r="H32" s="255"/>
      <c r="I32" s="252">
        <v>-14</v>
      </c>
      <c r="J32" s="50"/>
      <c r="K32" s="253">
        <v>3318</v>
      </c>
      <c r="L32" s="234">
        <v>-14</v>
      </c>
      <c r="M32" t="s">
        <v>356</v>
      </c>
      <c r="O32">
        <f>-86-1982</f>
        <v>-2068</v>
      </c>
    </row>
    <row r="33" spans="1:16">
      <c r="A33" s="232"/>
      <c r="B33" s="233"/>
      <c r="C33" s="244">
        <f>SUM(C22:C32)</f>
        <v>48</v>
      </c>
      <c r="D33" s="233"/>
      <c r="E33" s="244">
        <f>SUM(E22:E32)</f>
        <v>-2251</v>
      </c>
      <c r="F33" s="233"/>
      <c r="G33" s="244">
        <f>SUM(G22:G32)</f>
        <v>27657</v>
      </c>
      <c r="H33" s="233"/>
      <c r="I33" s="244">
        <f>SUM(I22:I32)</f>
        <v>-18895</v>
      </c>
      <c r="M33" t="s">
        <v>357</v>
      </c>
      <c r="O33">
        <v>-192</v>
      </c>
    </row>
    <row r="34" spans="1:16" ht="15" thickBot="1">
      <c r="A34" s="232"/>
      <c r="B34" s="233"/>
      <c r="C34" s="257"/>
      <c r="D34" s="233"/>
      <c r="E34" s="257"/>
      <c r="F34" s="233"/>
      <c r="G34" s="257"/>
      <c r="H34" s="233"/>
      <c r="I34" s="257"/>
      <c r="M34" t="s">
        <v>358</v>
      </c>
      <c r="O34">
        <v>-428</v>
      </c>
    </row>
    <row r="35" spans="1:16">
      <c r="A35" s="232" t="s">
        <v>359</v>
      </c>
      <c r="B35" s="233"/>
      <c r="C35" s="244"/>
      <c r="D35" s="233"/>
      <c r="E35" s="244"/>
      <c r="F35" s="233"/>
      <c r="G35" s="244">
        <f>-615+615</f>
        <v>0</v>
      </c>
      <c r="H35" s="233"/>
      <c r="I35" s="244"/>
      <c r="M35" t="s">
        <v>130</v>
      </c>
      <c r="O35">
        <f>-211+211-315</f>
        <v>-315</v>
      </c>
    </row>
    <row r="36" spans="1:16">
      <c r="A36" s="243" t="s">
        <v>23</v>
      </c>
      <c r="B36" s="233"/>
      <c r="C36" s="244"/>
      <c r="D36" s="233"/>
      <c r="E36" s="244"/>
      <c r="F36" s="244"/>
      <c r="G36" s="244">
        <v>-218</v>
      </c>
      <c r="H36" s="244"/>
      <c r="I36" s="244"/>
      <c r="L36" s="230"/>
      <c r="M36" t="s">
        <v>360</v>
      </c>
      <c r="O36">
        <v>-51</v>
      </c>
    </row>
    <row r="37" spans="1:16" ht="15" thickBot="1">
      <c r="A37" s="243" t="s">
        <v>24</v>
      </c>
      <c r="B37" s="233"/>
      <c r="C37" s="257"/>
      <c r="D37" s="233"/>
      <c r="E37" s="257"/>
      <c r="F37" s="257"/>
      <c r="G37" s="258"/>
      <c r="H37" s="257"/>
      <c r="I37" s="257">
        <v>-921</v>
      </c>
      <c r="J37" t="s">
        <v>361</v>
      </c>
      <c r="L37" s="253"/>
    </row>
    <row r="38" spans="1:16">
      <c r="A38" s="232"/>
      <c r="B38" s="233"/>
      <c r="C38" s="244"/>
      <c r="D38" s="233"/>
      <c r="E38" s="244"/>
      <c r="F38" s="233"/>
      <c r="G38" s="259"/>
      <c r="H38" s="233"/>
      <c r="I38" s="244"/>
    </row>
    <row r="39" spans="1:16" ht="15" thickBot="1">
      <c r="A39" s="242" t="s">
        <v>362</v>
      </c>
      <c r="B39" s="233"/>
      <c r="C39" s="257">
        <f>SUM(C33:C37)</f>
        <v>48</v>
      </c>
      <c r="D39" s="233"/>
      <c r="E39" s="257">
        <f>SUM(E33:E37)</f>
        <v>-2251</v>
      </c>
      <c r="F39" s="233"/>
      <c r="G39" s="257">
        <f>SUM(G33:G37)</f>
        <v>27439</v>
      </c>
      <c r="H39" s="233"/>
      <c r="I39" s="257">
        <f>SUM(I33:I37)</f>
        <v>-19816</v>
      </c>
    </row>
    <row r="40" spans="1:16">
      <c r="A40" s="232"/>
      <c r="B40" s="233"/>
      <c r="C40" s="244"/>
      <c r="D40" s="233"/>
      <c r="E40" s="244"/>
      <c r="F40" s="233"/>
      <c r="G40" s="244"/>
      <c r="H40" s="233"/>
      <c r="I40" s="244"/>
    </row>
    <row r="41" spans="1:16">
      <c r="A41" s="242" t="s">
        <v>25</v>
      </c>
      <c r="B41" s="233"/>
      <c r="C41" s="244"/>
      <c r="D41" s="233"/>
      <c r="E41" s="244"/>
      <c r="F41" s="233"/>
      <c r="G41" s="244"/>
      <c r="H41" s="233"/>
      <c r="I41" s="244"/>
      <c r="M41" s="240"/>
    </row>
    <row r="42" spans="1:16">
      <c r="A42" s="243" t="s">
        <v>363</v>
      </c>
      <c r="B42" s="233"/>
      <c r="C42" s="244"/>
      <c r="D42" s="244"/>
      <c r="E42" s="260"/>
      <c r="F42" s="244"/>
      <c r="G42" s="244"/>
      <c r="H42" s="244"/>
      <c r="I42" s="212"/>
      <c r="K42" t="s">
        <v>364</v>
      </c>
      <c r="M42" s="241"/>
      <c r="N42" s="82" t="s">
        <v>73</v>
      </c>
      <c r="O42" s="48" t="s">
        <v>75</v>
      </c>
    </row>
    <row r="43" spans="1:16">
      <c r="A43" s="243" t="s">
        <v>365</v>
      </c>
      <c r="B43" s="233"/>
      <c r="C43" s="244"/>
      <c r="D43" s="244"/>
      <c r="E43" s="260"/>
      <c r="F43" s="244"/>
      <c r="G43" s="244"/>
      <c r="H43" s="244"/>
      <c r="I43" s="246">
        <v>-146084</v>
      </c>
      <c r="K43" s="234">
        <v>11023</v>
      </c>
      <c r="M43" t="s">
        <v>366</v>
      </c>
      <c r="N43">
        <v>12507</v>
      </c>
      <c r="O43">
        <v>1752</v>
      </c>
      <c r="P43">
        <f>SUM(N43:O43)</f>
        <v>14259</v>
      </c>
    </row>
    <row r="44" spans="1:16">
      <c r="A44" s="243" t="s">
        <v>367</v>
      </c>
      <c r="B44" s="233"/>
      <c r="C44" s="244"/>
      <c r="D44" s="244"/>
      <c r="E44" s="260"/>
      <c r="F44" s="244"/>
      <c r="G44" s="244"/>
      <c r="H44" s="244"/>
      <c r="I44" s="247">
        <v>942</v>
      </c>
      <c r="M44" t="s">
        <v>368</v>
      </c>
      <c r="N44">
        <v>870</v>
      </c>
      <c r="O44">
        <v>173</v>
      </c>
      <c r="P44">
        <f>SUM(N44:O44)</f>
        <v>1043</v>
      </c>
    </row>
    <row r="45" spans="1:16">
      <c r="A45" s="243" t="s">
        <v>369</v>
      </c>
      <c r="B45" s="233"/>
      <c r="C45" s="244"/>
      <c r="D45" s="244"/>
      <c r="E45" s="260"/>
      <c r="F45" s="244"/>
      <c r="G45" s="244"/>
      <c r="H45" s="244"/>
      <c r="I45" s="244"/>
    </row>
    <row r="46" spans="1:16">
      <c r="A46" s="243" t="s">
        <v>370</v>
      </c>
      <c r="B46" s="233"/>
      <c r="C46" s="244"/>
      <c r="D46" s="244"/>
      <c r="E46" s="244"/>
      <c r="F46" s="244"/>
      <c r="G46" s="244"/>
      <c r="H46" s="244"/>
      <c r="I46" s="244"/>
      <c r="M46" t="s">
        <v>371</v>
      </c>
    </row>
    <row r="47" spans="1:16">
      <c r="A47" s="243" t="s">
        <v>372</v>
      </c>
      <c r="B47" s="233"/>
      <c r="C47" s="244"/>
      <c r="D47" s="244"/>
      <c r="E47" s="244"/>
      <c r="F47" s="244"/>
      <c r="G47" s="244"/>
      <c r="H47" s="244"/>
      <c r="I47" s="244"/>
      <c r="M47" t="s">
        <v>373</v>
      </c>
      <c r="N47">
        <v>-76147</v>
      </c>
    </row>
    <row r="48" spans="1:16">
      <c r="A48" s="243" t="s">
        <v>374</v>
      </c>
      <c r="B48" s="233"/>
      <c r="C48" s="244"/>
      <c r="D48" s="244"/>
      <c r="E48" s="244"/>
      <c r="F48" s="244"/>
      <c r="G48" s="244">
        <v>867</v>
      </c>
      <c r="H48" s="244"/>
      <c r="I48" s="246">
        <v>-25040</v>
      </c>
      <c r="M48" t="s">
        <v>375</v>
      </c>
      <c r="N48">
        <v>-2747</v>
      </c>
    </row>
    <row r="49" spans="1:14">
      <c r="A49" s="243" t="s">
        <v>26</v>
      </c>
      <c r="B49" s="233"/>
      <c r="C49" s="244"/>
      <c r="D49" s="244"/>
      <c r="E49" s="244"/>
      <c r="F49" s="244"/>
      <c r="G49" s="244">
        <v>-782</v>
      </c>
      <c r="H49" s="244"/>
      <c r="I49" s="246">
        <v>-3163</v>
      </c>
      <c r="M49" t="s">
        <v>376</v>
      </c>
      <c r="N49">
        <v>9889</v>
      </c>
    </row>
    <row r="50" spans="1:14">
      <c r="A50" s="243" t="s">
        <v>377</v>
      </c>
      <c r="B50" s="233"/>
      <c r="C50" s="244"/>
      <c r="D50" s="244"/>
      <c r="E50" s="244"/>
      <c r="F50" s="244"/>
      <c r="G50" s="244">
        <v>395</v>
      </c>
      <c r="H50" s="244"/>
      <c r="I50" s="247">
        <v>163</v>
      </c>
      <c r="M50" t="s">
        <v>378</v>
      </c>
      <c r="N50">
        <v>-2618</v>
      </c>
    </row>
    <row r="51" spans="1:14">
      <c r="A51" s="243" t="s">
        <v>379</v>
      </c>
      <c r="B51" s="233"/>
      <c r="C51" s="244"/>
      <c r="D51" s="244"/>
      <c r="E51" s="244">
        <v>-15</v>
      </c>
      <c r="F51" s="244"/>
      <c r="G51" s="244">
        <v>-455</v>
      </c>
      <c r="H51" s="244"/>
      <c r="I51" s="246">
        <v>-1493</v>
      </c>
      <c r="M51" t="s">
        <v>380</v>
      </c>
      <c r="N51">
        <v>11023</v>
      </c>
    </row>
    <row r="52" spans="1:14" ht="15" thickBot="1">
      <c r="A52" s="243" t="s">
        <v>381</v>
      </c>
      <c r="B52" s="233"/>
      <c r="C52" s="235"/>
      <c r="D52" s="233"/>
      <c r="E52" s="261"/>
      <c r="F52" s="233"/>
      <c r="G52" s="262"/>
      <c r="H52" s="233"/>
      <c r="I52" s="262"/>
    </row>
    <row r="53" spans="1:14">
      <c r="A53" s="232"/>
      <c r="B53" s="233"/>
      <c r="C53" s="244"/>
      <c r="D53" s="233"/>
      <c r="E53" s="244"/>
      <c r="F53" s="233"/>
      <c r="G53" s="244"/>
      <c r="H53" s="233"/>
      <c r="I53" s="244"/>
      <c r="M53" t="s">
        <v>382</v>
      </c>
      <c r="N53">
        <f>N47+N49+N50+N51</f>
        <v>-57853</v>
      </c>
    </row>
    <row r="54" spans="1:14" ht="15" thickBot="1">
      <c r="A54" s="242" t="s">
        <v>383</v>
      </c>
      <c r="B54" s="233"/>
      <c r="C54" s="257">
        <f>SUM(C42:C52)</f>
        <v>0</v>
      </c>
      <c r="D54" s="233"/>
      <c r="E54" s="257">
        <f>SUM(E42:E52)</f>
        <v>-15</v>
      </c>
      <c r="F54" s="233"/>
      <c r="G54" s="257">
        <f>SUM(G42:G52)</f>
        <v>25</v>
      </c>
      <c r="H54" s="233"/>
      <c r="I54" s="257">
        <f>SUM(I42:I52)</f>
        <v>-174675</v>
      </c>
    </row>
    <row r="55" spans="1:14">
      <c r="A55" s="232"/>
      <c r="B55" s="233"/>
      <c r="C55" s="244"/>
      <c r="D55" s="233"/>
      <c r="E55" s="244"/>
      <c r="F55" s="233"/>
      <c r="G55" s="244"/>
      <c r="H55" s="233"/>
      <c r="I55" s="244"/>
    </row>
    <row r="56" spans="1:14" s="263" customFormat="1">
      <c r="A56" s="242" t="s">
        <v>27</v>
      </c>
      <c r="B56" s="233"/>
      <c r="C56" s="244"/>
      <c r="D56" s="233"/>
      <c r="E56" s="244"/>
      <c r="F56" s="233"/>
      <c r="G56" s="244"/>
      <c r="H56" s="233"/>
      <c r="I56" s="244"/>
      <c r="M56" s="263" t="s">
        <v>384</v>
      </c>
    </row>
    <row r="57" spans="1:14">
      <c r="A57" s="243" t="s">
        <v>385</v>
      </c>
      <c r="B57" s="233"/>
      <c r="C57" s="244">
        <v>1514</v>
      </c>
      <c r="D57" s="233"/>
      <c r="E57" s="244"/>
      <c r="F57" s="233"/>
      <c r="G57" s="244">
        <v>1514</v>
      </c>
      <c r="H57" s="233"/>
      <c r="I57" s="244"/>
      <c r="M57" s="82">
        <v>33984</v>
      </c>
    </row>
    <row r="58" spans="1:14">
      <c r="A58" s="243" t="s">
        <v>386</v>
      </c>
      <c r="B58" s="233"/>
      <c r="C58" s="244"/>
      <c r="D58" s="244"/>
      <c r="E58" s="244"/>
      <c r="F58" s="244"/>
      <c r="G58" s="244">
        <v>0</v>
      </c>
      <c r="H58" s="244"/>
      <c r="I58" s="264">
        <v>214379</v>
      </c>
    </row>
    <row r="59" spans="1:14">
      <c r="A59" s="243" t="s">
        <v>387</v>
      </c>
      <c r="B59" s="233"/>
      <c r="C59" s="244"/>
      <c r="D59" s="244"/>
      <c r="E59" s="244"/>
      <c r="F59" s="244"/>
      <c r="G59" s="244">
        <v>-23399</v>
      </c>
      <c r="H59" s="244"/>
      <c r="I59" s="264"/>
    </row>
    <row r="60" spans="1:14">
      <c r="A60" s="243" t="s">
        <v>388</v>
      </c>
      <c r="B60" s="233"/>
      <c r="C60" s="244"/>
      <c r="D60" s="244"/>
      <c r="E60" s="244"/>
      <c r="F60" s="244"/>
      <c r="G60" s="244"/>
      <c r="H60" s="244"/>
      <c r="I60" s="249"/>
      <c r="J60" s="230" t="s">
        <v>389</v>
      </c>
    </row>
    <row r="61" spans="1:14">
      <c r="A61" s="243" t="s">
        <v>28</v>
      </c>
      <c r="B61" s="233"/>
      <c r="C61" s="234"/>
      <c r="D61" s="244"/>
      <c r="E61" s="244"/>
      <c r="F61" s="244"/>
      <c r="G61" s="244"/>
      <c r="H61" s="244"/>
      <c r="I61" s="265"/>
    </row>
    <row r="62" spans="1:14" ht="15" thickBot="1">
      <c r="A62" s="232"/>
      <c r="B62" s="233"/>
      <c r="C62" s="257"/>
      <c r="D62" s="233"/>
      <c r="E62" s="257"/>
      <c r="F62" s="233"/>
      <c r="G62" s="257"/>
      <c r="H62" s="233"/>
      <c r="I62" s="266"/>
    </row>
    <row r="63" spans="1:14">
      <c r="A63" s="242" t="s">
        <v>390</v>
      </c>
      <c r="B63" s="233"/>
      <c r="C63" s="244">
        <f>SUM(C57:C62)</f>
        <v>1514</v>
      </c>
      <c r="D63" s="233"/>
      <c r="E63" s="244">
        <f>SUM(E57:E62)</f>
        <v>0</v>
      </c>
      <c r="F63" s="233"/>
      <c r="G63" s="244">
        <f>SUM(G57:G62)</f>
        <v>-21885</v>
      </c>
      <c r="H63" s="233"/>
      <c r="I63" s="244">
        <f>SUM(I57:I62)</f>
        <v>214379</v>
      </c>
    </row>
    <row r="64" spans="1:14" ht="15" thickBot="1">
      <c r="A64" s="232"/>
      <c r="B64" s="233"/>
      <c r="C64" s="257"/>
      <c r="D64" s="233"/>
      <c r="E64" s="257"/>
      <c r="F64" s="233"/>
      <c r="G64" s="257"/>
      <c r="H64" s="233"/>
      <c r="I64" s="257"/>
    </row>
    <row r="65" spans="1:18">
      <c r="A65" s="242" t="s">
        <v>29</v>
      </c>
      <c r="B65" s="233"/>
      <c r="C65" s="244">
        <f>C39+C54+C63</f>
        <v>1562</v>
      </c>
      <c r="D65" s="233"/>
      <c r="E65" s="244">
        <f>E39+E54+E63</f>
        <v>-2266</v>
      </c>
      <c r="F65" s="233"/>
      <c r="G65" s="244">
        <f>G39+G54+G63</f>
        <v>5579</v>
      </c>
      <c r="H65" s="233"/>
      <c r="I65" s="244">
        <f>I39+I54+I63</f>
        <v>19888</v>
      </c>
    </row>
    <row r="66" spans="1:18">
      <c r="A66" s="232"/>
      <c r="B66" s="233"/>
      <c r="C66" s="244"/>
      <c r="D66" s="233"/>
      <c r="E66" s="244"/>
      <c r="F66" s="233"/>
      <c r="G66" s="244"/>
      <c r="H66" s="233"/>
      <c r="I66" s="244"/>
    </row>
    <row r="67" spans="1:18" ht="15" thickBot="1">
      <c r="A67" s="242" t="s">
        <v>391</v>
      </c>
      <c r="B67" s="233"/>
      <c r="C67" s="257">
        <v>61</v>
      </c>
      <c r="D67" s="257"/>
      <c r="E67" s="257">
        <v>6347</v>
      </c>
      <c r="F67" s="257"/>
      <c r="G67" s="257">
        <v>46343</v>
      </c>
      <c r="H67" s="257"/>
      <c r="I67" s="257">
        <v>14664</v>
      </c>
    </row>
    <row r="68" spans="1:18">
      <c r="A68" s="232"/>
      <c r="B68" s="233"/>
      <c r="C68" s="244"/>
      <c r="D68" s="233"/>
      <c r="E68" s="244"/>
      <c r="F68" s="233"/>
      <c r="G68" s="244"/>
      <c r="H68" s="233"/>
      <c r="I68" s="244"/>
    </row>
    <row r="69" spans="1:18" ht="15" thickBot="1">
      <c r="A69" s="242" t="s">
        <v>392</v>
      </c>
      <c r="B69" s="233"/>
      <c r="C69" s="267">
        <f>SUM(C65:C67)</f>
        <v>1623</v>
      </c>
      <c r="D69" s="233"/>
      <c r="E69" s="267">
        <f>SUM(E65:E67)</f>
        <v>4081</v>
      </c>
      <c r="F69" s="233"/>
      <c r="G69" s="267">
        <f>SUM(G65:G67)</f>
        <v>51922</v>
      </c>
      <c r="H69" s="233"/>
      <c r="I69" s="267">
        <f>SUM(I65:I67)</f>
        <v>34552</v>
      </c>
    </row>
    <row r="70" spans="1:18" ht="15" thickTop="1">
      <c r="C70" s="82">
        <v>0</v>
      </c>
      <c r="G70" s="82">
        <v>0</v>
      </c>
    </row>
    <row r="71" spans="1:18">
      <c r="C71" s="234"/>
      <c r="G71" s="234">
        <f>G69-G70</f>
        <v>51922</v>
      </c>
    </row>
    <row r="72" spans="1:18">
      <c r="G72" s="48">
        <f>G70-11023</f>
        <v>-11023</v>
      </c>
    </row>
    <row r="73" spans="1:18">
      <c r="G73">
        <f>G71/2</f>
        <v>25961</v>
      </c>
    </row>
    <row r="77" spans="1:18">
      <c r="M77" t="s">
        <v>393</v>
      </c>
      <c r="N77" t="s">
        <v>394</v>
      </c>
      <c r="O77" t="s">
        <v>395</v>
      </c>
      <c r="P77" t="s">
        <v>396</v>
      </c>
      <c r="Q77" t="s">
        <v>397</v>
      </c>
      <c r="R77" t="s">
        <v>79</v>
      </c>
    </row>
    <row r="78" spans="1:18">
      <c r="M78" t="s">
        <v>398</v>
      </c>
      <c r="N78" s="82">
        <v>3163</v>
      </c>
      <c r="O78" s="82">
        <v>2717</v>
      </c>
      <c r="P78" s="82">
        <v>43</v>
      </c>
      <c r="Q78" s="82"/>
      <c r="R78" s="82">
        <f>SUM(N78:Q78)</f>
        <v>5923</v>
      </c>
    </row>
    <row r="79" spans="1:18">
      <c r="M79" t="s">
        <v>399</v>
      </c>
      <c r="N79" s="82">
        <v>1493</v>
      </c>
      <c r="O79" s="82">
        <v>232</v>
      </c>
      <c r="P79" s="82">
        <v>63</v>
      </c>
      <c r="Q79" s="82">
        <v>119</v>
      </c>
      <c r="R79" s="82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4" activePane="bottomRight" state="frozen"/>
      <selection activeCell="AE9" sqref="AE9"/>
      <selection pane="topRight" activeCell="AE9" sqref="AE9"/>
      <selection pane="bottomLeft" activeCell="AE9" sqref="AE9"/>
      <selection pane="bottomRight" activeCell="F6" sqref="F6"/>
    </sheetView>
  </sheetViews>
  <sheetFormatPr defaultColWidth="9.08984375" defaultRowHeight="12" outlineLevelCol="1"/>
  <cols>
    <col min="1" max="3" width="2.90625" style="343" customWidth="1"/>
    <col min="4" max="4" width="53.90625" style="343" bestFit="1" customWidth="1"/>
    <col min="5" max="6" width="11.90625" style="344" customWidth="1" outlineLevel="1"/>
    <col min="7" max="7" width="10.453125" style="345" customWidth="1" outlineLevel="1"/>
    <col min="8" max="8" width="13.08984375" style="345" customWidth="1" outlineLevel="1"/>
    <col min="9" max="16" width="9.08984375" style="344"/>
    <col min="17" max="17" width="9.08984375" style="390"/>
    <col min="18" max="16384" width="9.08984375" style="344"/>
  </cols>
  <sheetData>
    <row r="1" spans="1:17" ht="90" customHeight="1" thickBot="1"/>
    <row r="2" spans="1:17" ht="12.5" thickBot="1">
      <c r="A2" s="320" t="s">
        <v>407</v>
      </c>
      <c r="B2" s="321"/>
      <c r="C2" s="321"/>
      <c r="D2" s="314"/>
      <c r="E2" s="395">
        <v>45747</v>
      </c>
      <c r="F2" s="395">
        <v>46112</v>
      </c>
      <c r="G2" s="2" t="s">
        <v>0</v>
      </c>
      <c r="H2" s="2" t="s">
        <v>1</v>
      </c>
    </row>
    <row r="3" spans="1:17" ht="15.75" customHeight="1">
      <c r="A3" s="322" t="s">
        <v>30</v>
      </c>
      <c r="B3" s="315"/>
      <c r="C3" s="3"/>
      <c r="D3" s="3"/>
      <c r="E3" s="49"/>
      <c r="F3" s="45"/>
      <c r="G3" s="65"/>
      <c r="H3" s="66"/>
    </row>
    <row r="4" spans="1:17" ht="15.75" customHeight="1">
      <c r="A4" s="323"/>
      <c r="B4" s="324" t="s">
        <v>31</v>
      </c>
      <c r="C4" s="324"/>
      <c r="D4" s="324"/>
      <c r="E4" s="46"/>
      <c r="F4" s="46"/>
      <c r="G4" s="78"/>
      <c r="H4" s="80"/>
    </row>
    <row r="5" spans="1:17" ht="15.75" customHeight="1">
      <c r="A5" s="323"/>
      <c r="B5" s="324"/>
      <c r="C5" s="324"/>
      <c r="D5" s="324" t="s">
        <v>408</v>
      </c>
      <c r="E5" s="16">
        <v>88638</v>
      </c>
      <c r="F5" s="16">
        <f>[1]BP!$G$8</f>
        <v>25454</v>
      </c>
      <c r="G5" s="55">
        <f>F5/E5-1</f>
        <v>-0.71283196823033013</v>
      </c>
      <c r="H5" s="97">
        <f>F5-E5</f>
        <v>-63184</v>
      </c>
      <c r="Q5" s="390" t="s">
        <v>499</v>
      </c>
    </row>
    <row r="6" spans="1:17">
      <c r="A6" s="323"/>
      <c r="B6" s="324"/>
      <c r="C6" s="324"/>
      <c r="D6" s="324" t="s">
        <v>409</v>
      </c>
      <c r="E6" s="16">
        <v>373</v>
      </c>
      <c r="F6" s="16">
        <f>[1]BP!$G$15</f>
        <v>102</v>
      </c>
      <c r="G6" s="55">
        <f t="shared" ref="G6" si="0">F6/E6-1</f>
        <v>-0.72654155495978556</v>
      </c>
      <c r="H6" s="97">
        <f t="shared" ref="H6:H9" si="1">F6-E6</f>
        <v>-271</v>
      </c>
      <c r="Q6" s="390" t="s">
        <v>500</v>
      </c>
    </row>
    <row r="7" spans="1:17" ht="15.75" customHeight="1">
      <c r="A7" s="323"/>
      <c r="B7" s="324"/>
      <c r="C7" s="324"/>
      <c r="D7" s="324" t="s">
        <v>410</v>
      </c>
      <c r="E7" s="12"/>
      <c r="F7" s="52">
        <v>0</v>
      </c>
      <c r="G7" s="55">
        <f>IFERROR(F7/E7-1,0)</f>
        <v>0</v>
      </c>
      <c r="H7" s="97">
        <f t="shared" si="1"/>
        <v>0</v>
      </c>
    </row>
    <row r="8" spans="1:17" ht="15.75" customHeight="1">
      <c r="A8" s="323"/>
      <c r="B8" s="324"/>
      <c r="C8" s="324"/>
      <c r="D8" s="324" t="s">
        <v>411</v>
      </c>
      <c r="E8" s="12">
        <v>176356</v>
      </c>
      <c r="F8" s="16">
        <f>[1]BP!$G$9</f>
        <v>202619</v>
      </c>
      <c r="G8" s="55">
        <f t="shared" ref="G8:G9" si="2">IFERROR(F8/E8-1,0)</f>
        <v>0.14892036562407851</v>
      </c>
      <c r="H8" s="97">
        <f t="shared" si="1"/>
        <v>26263</v>
      </c>
      <c r="Q8" s="390" t="s">
        <v>501</v>
      </c>
    </row>
    <row r="9" spans="1:17">
      <c r="A9" s="323"/>
      <c r="B9" s="324"/>
      <c r="C9" s="324"/>
      <c r="D9" s="324" t="s">
        <v>412</v>
      </c>
      <c r="E9" s="16">
        <v>161153</v>
      </c>
      <c r="F9" s="16">
        <f>[1]BP!$G$11</f>
        <v>180957</v>
      </c>
      <c r="G9" s="55">
        <f t="shared" si="2"/>
        <v>0.12288942805904957</v>
      </c>
      <c r="H9" s="97">
        <f t="shared" si="1"/>
        <v>19804</v>
      </c>
      <c r="Q9" s="390" t="s">
        <v>502</v>
      </c>
    </row>
    <row r="10" spans="1:17">
      <c r="A10" s="323"/>
      <c r="B10" s="324"/>
      <c r="C10" s="324"/>
      <c r="D10" s="324" t="s">
        <v>413</v>
      </c>
      <c r="E10" s="16"/>
      <c r="F10" s="16">
        <f>[1]BP!$G$13</f>
        <v>6981</v>
      </c>
      <c r="G10" s="55">
        <f>IFERROR(F10/E10-1,0)</f>
        <v>0</v>
      </c>
      <c r="H10" s="97">
        <f>F10-E10</f>
        <v>6981</v>
      </c>
      <c r="Q10" s="390" t="s">
        <v>503</v>
      </c>
    </row>
    <row r="11" spans="1:17">
      <c r="A11" s="323"/>
      <c r="B11" s="324"/>
      <c r="C11" s="324"/>
      <c r="D11" s="324" t="s">
        <v>33</v>
      </c>
      <c r="E11" s="16">
        <v>13208</v>
      </c>
      <c r="F11" s="16">
        <f>[1]BP!$G$12</f>
        <v>11851</v>
      </c>
      <c r="G11" s="55">
        <f>IFERROR(F11/E11-1,0)</f>
        <v>-0.10274076317383407</v>
      </c>
      <c r="H11" s="97">
        <f>F11-E11</f>
        <v>-1357</v>
      </c>
      <c r="Q11" s="390" t="s">
        <v>504</v>
      </c>
    </row>
    <row r="12" spans="1:17">
      <c r="A12" s="323"/>
      <c r="B12" s="324"/>
      <c r="C12" s="324"/>
      <c r="D12" s="324" t="s">
        <v>414</v>
      </c>
      <c r="E12" s="16">
        <v>125</v>
      </c>
      <c r="F12" s="16">
        <f>[1]BP!$G$14</f>
        <v>26</v>
      </c>
      <c r="G12" s="55">
        <f>IFERROR(F12/E12-1,0)</f>
        <v>-0.79200000000000004</v>
      </c>
      <c r="H12" s="97">
        <f>F12-E12</f>
        <v>-99</v>
      </c>
      <c r="Q12" s="390" t="s">
        <v>505</v>
      </c>
    </row>
    <row r="13" spans="1:17">
      <c r="A13" s="323"/>
      <c r="B13" s="324"/>
      <c r="C13" s="324"/>
      <c r="D13" s="324" t="s">
        <v>34</v>
      </c>
      <c r="E13" s="16">
        <v>16377</v>
      </c>
      <c r="F13" s="16">
        <f>[1]BP!$G$16</f>
        <v>16243</v>
      </c>
      <c r="G13" s="55">
        <f>IFERROR(F13/E13-1,0)</f>
        <v>-8.1822067533736664E-3</v>
      </c>
      <c r="H13" s="97">
        <f>F13-E13</f>
        <v>-134</v>
      </c>
      <c r="Q13" s="390" t="s">
        <v>34</v>
      </c>
    </row>
    <row r="14" spans="1:17">
      <c r="A14" s="323"/>
      <c r="B14" s="324"/>
      <c r="C14" s="324"/>
      <c r="D14" s="324" t="s">
        <v>415</v>
      </c>
      <c r="E14" s="16"/>
      <c r="F14" s="16">
        <f>[1]BP!$G$24</f>
        <v>0</v>
      </c>
      <c r="G14" s="55">
        <f>IFERROR(F14/E14-1,0)</f>
        <v>0</v>
      </c>
      <c r="H14" s="97">
        <f>F14-E14</f>
        <v>0</v>
      </c>
    </row>
    <row r="15" spans="1:17">
      <c r="A15" s="323"/>
      <c r="B15" s="324" t="s">
        <v>35</v>
      </c>
      <c r="C15" s="324"/>
      <c r="D15" s="324"/>
      <c r="E15" s="16"/>
      <c r="F15" s="16"/>
      <c r="G15" s="55"/>
      <c r="H15" s="97"/>
    </row>
    <row r="16" spans="1:17">
      <c r="A16" s="323"/>
      <c r="B16" s="324"/>
      <c r="C16" s="324" t="s">
        <v>36</v>
      </c>
      <c r="D16" s="3"/>
      <c r="E16" s="16"/>
      <c r="F16" s="16"/>
      <c r="G16" s="73"/>
      <c r="H16" s="97"/>
    </row>
    <row r="17" spans="1:17">
      <c r="A17" s="323"/>
      <c r="B17" s="324"/>
      <c r="C17" s="324"/>
      <c r="D17" s="324" t="s">
        <v>416</v>
      </c>
      <c r="E17" s="16"/>
      <c r="F17" s="16"/>
      <c r="G17" s="55"/>
      <c r="H17" s="97"/>
    </row>
    <row r="18" spans="1:17">
      <c r="A18" s="323"/>
      <c r="B18" s="324"/>
      <c r="C18" s="324"/>
      <c r="D18" s="324" t="s">
        <v>417</v>
      </c>
      <c r="E18" s="16">
        <v>125</v>
      </c>
      <c r="F18" s="16">
        <f>[1]BP!$G$32</f>
        <v>0</v>
      </c>
      <c r="G18" s="55">
        <f t="shared" ref="G18:G22" si="3">IFERROR(F18/E18-1,0)</f>
        <v>-1</v>
      </c>
      <c r="H18" s="97">
        <f t="shared" ref="H18:H22" si="4">F18-E18</f>
        <v>-125</v>
      </c>
      <c r="Q18" s="390" t="s">
        <v>305</v>
      </c>
    </row>
    <row r="19" spans="1:17">
      <c r="A19" s="323"/>
      <c r="B19" s="324"/>
      <c r="C19" s="324"/>
      <c r="D19" s="324" t="s">
        <v>410</v>
      </c>
      <c r="E19" s="16"/>
      <c r="F19" s="16">
        <f>[1]BP!$G$37</f>
        <v>0</v>
      </c>
      <c r="G19" s="55">
        <f t="shared" si="3"/>
        <v>0</v>
      </c>
      <c r="H19" s="97">
        <f t="shared" si="4"/>
        <v>0</v>
      </c>
      <c r="Q19" s="390" t="s">
        <v>506</v>
      </c>
    </row>
    <row r="20" spans="1:17">
      <c r="A20" s="323"/>
      <c r="B20" s="324"/>
      <c r="C20" s="324"/>
      <c r="D20" s="324" t="s">
        <v>33</v>
      </c>
      <c r="E20" s="16">
        <v>3305</v>
      </c>
      <c r="F20" s="16">
        <f>[1]BP!$G$35</f>
        <v>3357</v>
      </c>
      <c r="G20" s="55">
        <f t="shared" si="3"/>
        <v>1.5733736762481021E-2</v>
      </c>
      <c r="H20" s="97">
        <f t="shared" si="4"/>
        <v>52</v>
      </c>
      <c r="Q20" s="390" t="s">
        <v>33</v>
      </c>
    </row>
    <row r="21" spans="1:17">
      <c r="A21" s="323"/>
      <c r="B21" s="324"/>
      <c r="C21" s="3"/>
      <c r="D21" s="3" t="s">
        <v>37</v>
      </c>
      <c r="E21" s="16">
        <v>7841</v>
      </c>
      <c r="F21" s="16">
        <f>[1]BP!$G$38</f>
        <v>10904</v>
      </c>
      <c r="G21" s="55">
        <f t="shared" si="3"/>
        <v>0.3906389491136335</v>
      </c>
      <c r="H21" s="97">
        <f t="shared" si="4"/>
        <v>3063</v>
      </c>
      <c r="Q21" s="390" t="s">
        <v>507</v>
      </c>
    </row>
    <row r="22" spans="1:17">
      <c r="A22" s="323"/>
      <c r="B22" s="324"/>
      <c r="C22" s="324"/>
      <c r="D22" s="324" t="s">
        <v>414</v>
      </c>
      <c r="E22" s="16"/>
      <c r="F22" s="16">
        <f>[1]BP!$G$39</f>
        <v>0</v>
      </c>
      <c r="G22" s="55">
        <f t="shared" si="3"/>
        <v>0</v>
      </c>
      <c r="H22" s="97">
        <f t="shared" si="4"/>
        <v>0</v>
      </c>
      <c r="Q22" s="390" t="s">
        <v>508</v>
      </c>
    </row>
    <row r="23" spans="1:17">
      <c r="A23" s="323"/>
      <c r="B23" s="324"/>
      <c r="C23" s="324" t="s">
        <v>418</v>
      </c>
      <c r="D23" s="315"/>
      <c r="E23" s="16"/>
      <c r="F23" s="16"/>
      <c r="G23" s="73"/>
      <c r="H23" s="97"/>
    </row>
    <row r="24" spans="1:17">
      <c r="A24" s="323"/>
      <c r="B24" s="324"/>
      <c r="C24" s="324"/>
      <c r="D24" s="324" t="s">
        <v>419</v>
      </c>
      <c r="E24" s="16">
        <v>191525</v>
      </c>
      <c r="F24" s="16">
        <f>[1]BP!$G$47</f>
        <v>192175</v>
      </c>
      <c r="G24" s="55">
        <f>F24/E24-1</f>
        <v>3.3938128181698612E-3</v>
      </c>
      <c r="H24" s="97">
        <f t="shared" ref="H24:H25" si="5">F24-E24</f>
        <v>650</v>
      </c>
      <c r="Q24" s="390" t="s">
        <v>509</v>
      </c>
    </row>
    <row r="25" spans="1:17">
      <c r="A25" s="323"/>
      <c r="B25" s="324"/>
      <c r="C25" s="324"/>
      <c r="D25" s="324" t="s">
        <v>420</v>
      </c>
      <c r="E25" s="16">
        <v>26565</v>
      </c>
      <c r="F25" s="16">
        <f>[1]BP!$G$48</f>
        <v>29805</v>
      </c>
      <c r="G25" s="55">
        <f>F25/E25-1</f>
        <v>0.12196499153020901</v>
      </c>
      <c r="H25" s="97">
        <f t="shared" si="5"/>
        <v>3240</v>
      </c>
      <c r="Q25" s="390" t="s">
        <v>510</v>
      </c>
    </row>
    <row r="26" spans="1:17">
      <c r="A26" s="316" t="s">
        <v>38</v>
      </c>
      <c r="B26" s="317"/>
      <c r="C26" s="317"/>
      <c r="D26" s="318"/>
      <c r="E26" s="31">
        <f>SUM(E5:E25)</f>
        <v>685591</v>
      </c>
      <c r="F26" s="31">
        <f>SUM(F5:F25)</f>
        <v>680474</v>
      </c>
      <c r="G26" s="79">
        <f>F26/E26-1</f>
        <v>-7.4636335657848329E-3</v>
      </c>
      <c r="H26" s="81">
        <f>F26-E26</f>
        <v>-5117</v>
      </c>
    </row>
    <row r="27" spans="1:17">
      <c r="A27" s="323" t="s">
        <v>39</v>
      </c>
      <c r="B27" s="324"/>
      <c r="C27" s="324"/>
      <c r="D27" s="324"/>
      <c r="E27" s="47"/>
      <c r="F27" s="47"/>
      <c r="G27" s="55"/>
      <c r="H27" s="56"/>
    </row>
    <row r="28" spans="1:17">
      <c r="A28" s="323"/>
      <c r="B28" s="324" t="s">
        <v>31</v>
      </c>
      <c r="C28" s="324"/>
      <c r="D28" s="324"/>
      <c r="E28" s="47"/>
      <c r="F28" s="47"/>
      <c r="G28" s="55"/>
      <c r="H28" s="56"/>
    </row>
    <row r="29" spans="1:17">
      <c r="A29" s="323"/>
      <c r="B29" s="324"/>
      <c r="C29" s="324"/>
      <c r="D29" s="324" t="s">
        <v>421</v>
      </c>
      <c r="E29" s="12"/>
      <c r="F29" s="12"/>
      <c r="G29" s="55"/>
      <c r="H29" s="56"/>
    </row>
    <row r="30" spans="1:17">
      <c r="A30" s="323"/>
      <c r="B30" s="324"/>
      <c r="C30" s="324"/>
      <c r="D30" s="324" t="s">
        <v>422</v>
      </c>
      <c r="E30" s="12">
        <v>50855</v>
      </c>
      <c r="F30" s="16">
        <f>[1]BP!$P$8</f>
        <v>11819</v>
      </c>
      <c r="G30" s="55">
        <f t="shared" ref="G30:G42" si="6">IFERROR(F30/E30-1,0)</f>
        <v>-0.76759414020253658</v>
      </c>
      <c r="H30" s="97">
        <f>F30-E30</f>
        <v>-39036</v>
      </c>
      <c r="Q30" s="390" t="s">
        <v>511</v>
      </c>
    </row>
    <row r="31" spans="1:17">
      <c r="A31" s="323"/>
      <c r="B31" s="324"/>
      <c r="C31" s="324"/>
      <c r="D31" s="324" t="s">
        <v>40</v>
      </c>
      <c r="E31" s="12">
        <v>59530</v>
      </c>
      <c r="F31" s="16">
        <f>[1]BP!$P$9+[1]BP!$P$10</f>
        <v>58993</v>
      </c>
      <c r="G31" s="55">
        <f t="shared" si="6"/>
        <v>-9.0206618511674552E-3</v>
      </c>
      <c r="H31" s="97">
        <f t="shared" ref="H31:H42" si="7">F31-E31</f>
        <v>-537</v>
      </c>
      <c r="Q31" s="390" t="s">
        <v>512</v>
      </c>
    </row>
    <row r="32" spans="1:17">
      <c r="A32" s="323"/>
      <c r="B32" s="324"/>
      <c r="C32" s="324"/>
      <c r="D32" s="324" t="s">
        <v>498</v>
      </c>
      <c r="E32" s="16"/>
      <c r="F32" s="16"/>
      <c r="G32" s="55"/>
      <c r="H32" s="97"/>
      <c r="Q32" s="390" t="s">
        <v>498</v>
      </c>
    </row>
    <row r="33" spans="1:17">
      <c r="A33" s="323"/>
      <c r="B33" s="324"/>
      <c r="C33" s="324"/>
      <c r="D33" s="324" t="s">
        <v>41</v>
      </c>
      <c r="E33" s="12">
        <v>4816</v>
      </c>
      <c r="F33" s="16">
        <f>[1]BP!$P$11</f>
        <v>7838</v>
      </c>
      <c r="G33" s="55">
        <f t="shared" si="6"/>
        <v>0.62749169435215957</v>
      </c>
      <c r="H33" s="97">
        <f t="shared" si="7"/>
        <v>3022</v>
      </c>
      <c r="Q33" s="390" t="s">
        <v>513</v>
      </c>
    </row>
    <row r="34" spans="1:17">
      <c r="A34" s="323"/>
      <c r="B34" s="324"/>
      <c r="C34" s="324"/>
      <c r="D34" s="324" t="s">
        <v>423</v>
      </c>
      <c r="E34" s="12">
        <v>2046</v>
      </c>
      <c r="F34" s="16">
        <f>[1]BP!$P$12</f>
        <v>2428</v>
      </c>
      <c r="G34" s="55">
        <f t="shared" si="6"/>
        <v>0.1867057673509287</v>
      </c>
      <c r="H34" s="97">
        <f t="shared" si="7"/>
        <v>382</v>
      </c>
      <c r="Q34" s="390" t="s">
        <v>514</v>
      </c>
    </row>
    <row r="35" spans="1:17">
      <c r="A35" s="323"/>
      <c r="B35" s="324"/>
      <c r="C35" s="324"/>
      <c r="D35" s="324" t="s">
        <v>424</v>
      </c>
      <c r="E35" s="12"/>
      <c r="F35" s="16">
        <f>[1]BP!$P$15</f>
        <v>0</v>
      </c>
      <c r="G35" s="55">
        <f t="shared" si="6"/>
        <v>0</v>
      </c>
      <c r="H35" s="97">
        <f t="shared" si="7"/>
        <v>0</v>
      </c>
      <c r="Q35" s="390" t="s">
        <v>515</v>
      </c>
    </row>
    <row r="36" spans="1:17">
      <c r="A36" s="323"/>
      <c r="B36" s="324"/>
      <c r="C36" s="324"/>
      <c r="D36" s="324" t="s">
        <v>42</v>
      </c>
      <c r="E36" s="16">
        <v>8633</v>
      </c>
      <c r="F36" s="16">
        <f>[1]BP!$P$13</f>
        <v>10648</v>
      </c>
      <c r="G36" s="55">
        <f t="shared" si="6"/>
        <v>0.23340669523919844</v>
      </c>
      <c r="H36" s="97">
        <f t="shared" si="7"/>
        <v>2015</v>
      </c>
      <c r="Q36" s="390" t="s">
        <v>42</v>
      </c>
    </row>
    <row r="37" spans="1:17">
      <c r="A37" s="323"/>
      <c r="B37" s="324"/>
      <c r="C37" s="324"/>
      <c r="D37" s="324" t="s">
        <v>425</v>
      </c>
      <c r="E37" s="16">
        <v>140</v>
      </c>
      <c r="F37" s="16">
        <f>[1]BP!$P$14</f>
        <v>10154</v>
      </c>
      <c r="G37" s="55">
        <f t="shared" si="6"/>
        <v>71.528571428571425</v>
      </c>
      <c r="H37" s="97">
        <f t="shared" si="7"/>
        <v>10014</v>
      </c>
      <c r="Q37" s="390" t="s">
        <v>516</v>
      </c>
    </row>
    <row r="38" spans="1:17">
      <c r="A38" s="323"/>
      <c r="B38" s="324"/>
      <c r="C38" s="324"/>
      <c r="D38" s="324" t="s">
        <v>414</v>
      </c>
      <c r="E38" s="16">
        <v>2386</v>
      </c>
      <c r="F38" s="16">
        <f>[1]BP!$P$17</f>
        <v>8643</v>
      </c>
      <c r="G38" s="55">
        <f t="shared" si="6"/>
        <v>2.6223805532271585</v>
      </c>
      <c r="H38" s="97">
        <f t="shared" si="7"/>
        <v>6257</v>
      </c>
      <c r="Q38" s="390" t="s">
        <v>505</v>
      </c>
    </row>
    <row r="39" spans="1:17">
      <c r="A39" s="323"/>
      <c r="B39" s="324"/>
      <c r="C39" s="324"/>
      <c r="D39" s="324" t="s">
        <v>403</v>
      </c>
      <c r="E39" s="16">
        <v>1675</v>
      </c>
      <c r="F39" s="16">
        <f>[1]BP!$P$18</f>
        <v>1312</v>
      </c>
      <c r="G39" s="55">
        <f t="shared" si="6"/>
        <v>-0.21671641791044771</v>
      </c>
      <c r="H39" s="97">
        <f t="shared" si="7"/>
        <v>-363</v>
      </c>
      <c r="Q39" s="390" t="s">
        <v>517</v>
      </c>
    </row>
    <row r="40" spans="1:17">
      <c r="A40" s="323"/>
      <c r="B40" s="324"/>
      <c r="C40" s="324"/>
      <c r="D40" s="324" t="s">
        <v>44</v>
      </c>
      <c r="E40" s="16">
        <v>12636</v>
      </c>
      <c r="F40" s="16">
        <f>[1]BP!$P$21</f>
        <v>11621</v>
      </c>
      <c r="G40" s="55">
        <f t="shared" si="6"/>
        <v>-8.032605254827474E-2</v>
      </c>
      <c r="H40" s="97">
        <f t="shared" si="7"/>
        <v>-1015</v>
      </c>
      <c r="Q40" s="390" t="s">
        <v>44</v>
      </c>
    </row>
    <row r="41" spans="1:17">
      <c r="A41" s="323"/>
      <c r="B41" s="324"/>
      <c r="C41" s="324"/>
      <c r="D41" s="324" t="s">
        <v>426</v>
      </c>
      <c r="E41" s="16"/>
      <c r="F41" s="16">
        <f>[1]BP!P19</f>
        <v>0</v>
      </c>
      <c r="G41" s="55">
        <f t="shared" si="6"/>
        <v>0</v>
      </c>
      <c r="H41" s="97">
        <f t="shared" si="7"/>
        <v>0</v>
      </c>
      <c r="Q41" s="390" t="s">
        <v>518</v>
      </c>
    </row>
    <row r="42" spans="1:17">
      <c r="A42" s="323"/>
      <c r="B42" s="324"/>
      <c r="C42" s="324"/>
      <c r="D42" s="324" t="s">
        <v>404</v>
      </c>
      <c r="E42" s="16"/>
      <c r="F42" s="16">
        <f>[1]BP!P20</f>
        <v>0</v>
      </c>
      <c r="G42" s="55">
        <f t="shared" si="6"/>
        <v>0</v>
      </c>
      <c r="H42" s="97">
        <f t="shared" si="7"/>
        <v>0</v>
      </c>
      <c r="Q42" s="390" t="s">
        <v>519</v>
      </c>
    </row>
    <row r="43" spans="1:17">
      <c r="A43" s="323"/>
      <c r="B43" s="324" t="s">
        <v>35</v>
      </c>
      <c r="C43" s="3"/>
      <c r="D43" s="3"/>
      <c r="E43" s="16"/>
      <c r="F43" s="16"/>
      <c r="G43" s="55"/>
      <c r="H43" s="97"/>
    </row>
    <row r="44" spans="1:17">
      <c r="A44" s="323"/>
      <c r="B44" s="324"/>
      <c r="C44" s="324"/>
      <c r="D44" s="324" t="s">
        <v>422</v>
      </c>
      <c r="E44" s="16">
        <v>50452</v>
      </c>
      <c r="F44" s="16">
        <f>[1]BP!$P$25</f>
        <v>30844</v>
      </c>
      <c r="G44" s="55">
        <f t="shared" ref="G44:G53" si="8">IFERROR(F44/E44-1,0)</f>
        <v>-0.38864663442479985</v>
      </c>
      <c r="H44" s="97">
        <f t="shared" ref="H44:H53" si="9">F44-E44</f>
        <v>-19608</v>
      </c>
      <c r="Q44" s="390" t="s">
        <v>511</v>
      </c>
    </row>
    <row r="45" spans="1:17">
      <c r="A45" s="323"/>
      <c r="B45" s="324"/>
      <c r="C45" s="324"/>
      <c r="D45" s="324" t="s">
        <v>41</v>
      </c>
      <c r="E45" s="16"/>
      <c r="F45" s="16">
        <f>[1]BP!$P$28</f>
        <v>996</v>
      </c>
      <c r="G45" s="55">
        <f t="shared" si="8"/>
        <v>0</v>
      </c>
      <c r="H45" s="97">
        <f t="shared" si="9"/>
        <v>996</v>
      </c>
      <c r="Q45" s="390" t="s">
        <v>521</v>
      </c>
    </row>
    <row r="46" spans="1:17">
      <c r="A46" s="323"/>
      <c r="B46" s="324"/>
      <c r="C46" s="324"/>
      <c r="D46" s="324" t="s">
        <v>423</v>
      </c>
      <c r="E46" s="16">
        <v>30199</v>
      </c>
      <c r="F46" s="16">
        <f>[1]BP!$P$26</f>
        <v>31362</v>
      </c>
      <c r="G46" s="55">
        <f t="shared" si="8"/>
        <v>3.8511208980429812E-2</v>
      </c>
      <c r="H46" s="97">
        <f t="shared" si="9"/>
        <v>1163</v>
      </c>
      <c r="Q46" s="390" t="s">
        <v>520</v>
      </c>
    </row>
    <row r="47" spans="1:17">
      <c r="A47" s="323"/>
      <c r="B47" s="324"/>
      <c r="C47" s="324"/>
      <c r="D47" s="324" t="s">
        <v>45</v>
      </c>
      <c r="E47" s="16">
        <v>49326</v>
      </c>
      <c r="F47" s="16">
        <f>[1]BP!$P$27</f>
        <v>51662</v>
      </c>
      <c r="G47" s="55">
        <f t="shared" si="8"/>
        <v>4.7358391112192422E-2</v>
      </c>
      <c r="H47" s="97">
        <f t="shared" si="9"/>
        <v>2336</v>
      </c>
      <c r="Q47" s="390" t="s">
        <v>522</v>
      </c>
    </row>
    <row r="48" spans="1:17">
      <c r="A48" s="323"/>
      <c r="B48" s="324"/>
      <c r="C48" s="324"/>
      <c r="D48" s="324" t="s">
        <v>414</v>
      </c>
      <c r="E48" s="16">
        <v>1189</v>
      </c>
      <c r="F48" s="16">
        <f>[1]BP!$P$29</f>
        <v>0</v>
      </c>
      <c r="G48" s="55">
        <f t="shared" si="8"/>
        <v>-1</v>
      </c>
      <c r="H48" s="97">
        <f t="shared" si="9"/>
        <v>-1189</v>
      </c>
      <c r="Q48" s="390" t="s">
        <v>505</v>
      </c>
    </row>
    <row r="49" spans="1:17">
      <c r="A49" s="323"/>
      <c r="B49" s="324"/>
      <c r="C49" s="324"/>
      <c r="D49" s="324" t="s">
        <v>427</v>
      </c>
      <c r="E49" s="16"/>
      <c r="F49" s="16">
        <f>[1]BP!$P$31</f>
        <v>0</v>
      </c>
      <c r="G49" s="55">
        <f t="shared" si="8"/>
        <v>0</v>
      </c>
      <c r="H49" s="97">
        <f t="shared" si="9"/>
        <v>0</v>
      </c>
      <c r="Q49" s="390" t="s">
        <v>523</v>
      </c>
    </row>
    <row r="50" spans="1:17">
      <c r="A50" s="323"/>
      <c r="B50" s="324"/>
      <c r="C50" s="324"/>
      <c r="D50" s="324" t="s">
        <v>404</v>
      </c>
      <c r="E50" s="16"/>
      <c r="F50" s="16">
        <f>[1]BP!$P$32</f>
        <v>0</v>
      </c>
      <c r="G50" s="55">
        <f t="shared" si="8"/>
        <v>0</v>
      </c>
      <c r="H50" s="97">
        <f t="shared" si="9"/>
        <v>0</v>
      </c>
      <c r="Q50" s="390" t="s">
        <v>519</v>
      </c>
    </row>
    <row r="51" spans="1:17">
      <c r="A51" s="323"/>
      <c r="B51" s="324"/>
      <c r="C51" s="324"/>
      <c r="D51" s="324" t="s">
        <v>403</v>
      </c>
      <c r="E51" s="16">
        <v>1576</v>
      </c>
      <c r="F51" s="16">
        <f>[1]BP!$P$33</f>
        <v>2546</v>
      </c>
      <c r="G51" s="55">
        <f t="shared" si="8"/>
        <v>0.61548223350253806</v>
      </c>
      <c r="H51" s="97">
        <f t="shared" si="9"/>
        <v>970</v>
      </c>
      <c r="Q51" s="390" t="s">
        <v>524</v>
      </c>
    </row>
    <row r="52" spans="1:17">
      <c r="A52" s="323"/>
      <c r="B52" s="324"/>
      <c r="C52" s="324"/>
      <c r="D52" s="324" t="s">
        <v>406</v>
      </c>
      <c r="E52" s="16">
        <v>1709</v>
      </c>
      <c r="F52" s="16">
        <f>[1]BP!$P$34</f>
        <v>1709</v>
      </c>
      <c r="G52" s="55">
        <f t="shared" si="8"/>
        <v>0</v>
      </c>
      <c r="H52" s="97">
        <f t="shared" si="9"/>
        <v>0</v>
      </c>
      <c r="Q52" s="390" t="s">
        <v>518</v>
      </c>
    </row>
    <row r="53" spans="1:17">
      <c r="A53" s="323"/>
      <c r="B53" s="324"/>
      <c r="C53" s="324"/>
      <c r="D53" s="324" t="s">
        <v>44</v>
      </c>
      <c r="F53" s="16">
        <f>[1]BP!$P$35</f>
        <v>0</v>
      </c>
      <c r="G53" s="55">
        <f t="shared" si="8"/>
        <v>0</v>
      </c>
      <c r="H53" s="97">
        <f t="shared" si="9"/>
        <v>0</v>
      </c>
      <c r="Q53" s="390" t="s">
        <v>44</v>
      </c>
    </row>
    <row r="54" spans="1:17">
      <c r="A54" s="316" t="s">
        <v>428</v>
      </c>
      <c r="B54" s="317"/>
      <c r="C54" s="317"/>
      <c r="D54" s="317"/>
      <c r="E54" s="31">
        <f>SUM(E29:E52)</f>
        <v>277168</v>
      </c>
      <c r="F54" s="31">
        <f>SUM(F29:F53)</f>
        <v>242575</v>
      </c>
      <c r="G54" s="79">
        <f>F54/E54-1</f>
        <v>-0.12480878023437048</v>
      </c>
      <c r="H54" s="81">
        <f>F54-E54</f>
        <v>-34593</v>
      </c>
    </row>
    <row r="55" spans="1:17">
      <c r="A55" s="323" t="s">
        <v>429</v>
      </c>
      <c r="B55" s="324"/>
      <c r="C55" s="324"/>
      <c r="D55" s="324"/>
      <c r="E55" s="47"/>
      <c r="F55" s="47"/>
      <c r="G55" s="55"/>
      <c r="H55" s="56"/>
    </row>
    <row r="56" spans="1:17">
      <c r="A56" s="323"/>
      <c r="B56" s="324" t="s">
        <v>46</v>
      </c>
      <c r="C56" s="324"/>
      <c r="D56" s="324"/>
      <c r="E56" s="16">
        <v>130583</v>
      </c>
      <c r="F56" s="16">
        <f>[1]BP!$P$42</f>
        <v>130583</v>
      </c>
      <c r="G56" s="55">
        <f t="shared" ref="G56:G64" si="10">IFERROR(F56/E56-1,0)</f>
        <v>0</v>
      </c>
      <c r="H56" s="97">
        <f t="shared" ref="H56:H63" si="11">F56-E56</f>
        <v>0</v>
      </c>
      <c r="Q56" s="390" t="s">
        <v>46</v>
      </c>
    </row>
    <row r="57" spans="1:17">
      <c r="A57" s="323"/>
      <c r="B57" s="324" t="s">
        <v>430</v>
      </c>
      <c r="C57" s="324"/>
      <c r="D57" s="324"/>
      <c r="E57" s="16">
        <v>-3824</v>
      </c>
      <c r="F57" s="16">
        <f>[1]BP!$P$43</f>
        <v>-7893</v>
      </c>
      <c r="G57" s="55">
        <f t="shared" si="10"/>
        <v>1.0640690376569037</v>
      </c>
      <c r="H57" s="97">
        <f t="shared" si="11"/>
        <v>-4069</v>
      </c>
      <c r="Q57" s="390" t="s">
        <v>525</v>
      </c>
    </row>
    <row r="58" spans="1:17">
      <c r="A58" s="323"/>
      <c r="B58" s="324" t="s">
        <v>47</v>
      </c>
      <c r="C58" s="324"/>
      <c r="D58" s="324"/>
      <c r="E58" s="16">
        <v>-10870</v>
      </c>
      <c r="F58" s="16">
        <f>[1]BP!$P$44</f>
        <v>-10870</v>
      </c>
      <c r="G58" s="55">
        <f t="shared" si="10"/>
        <v>0</v>
      </c>
      <c r="H58" s="97">
        <f t="shared" si="11"/>
        <v>0</v>
      </c>
      <c r="Q58" s="390" t="s">
        <v>47</v>
      </c>
    </row>
    <row r="59" spans="1:17">
      <c r="A59" s="323"/>
      <c r="B59" s="324" t="s">
        <v>48</v>
      </c>
      <c r="C59" s="3"/>
      <c r="D59" s="3"/>
      <c r="E59" s="16">
        <v>131092</v>
      </c>
      <c r="F59" s="16">
        <f>[1]BP!$P$45</f>
        <v>115575</v>
      </c>
      <c r="G59" s="55">
        <f t="shared" si="10"/>
        <v>-0.11836725353187072</v>
      </c>
      <c r="H59" s="97">
        <f t="shared" si="11"/>
        <v>-15517</v>
      </c>
      <c r="J59" s="347"/>
      <c r="Q59" s="390" t="s">
        <v>48</v>
      </c>
    </row>
    <row r="60" spans="1:17">
      <c r="A60" s="323"/>
      <c r="B60" s="324" t="s">
        <v>49</v>
      </c>
      <c r="C60" s="324"/>
      <c r="D60" s="324"/>
      <c r="E60" s="16">
        <v>-14129</v>
      </c>
      <c r="F60" s="16">
        <f>[1]BP!$P$49</f>
        <v>50570</v>
      </c>
      <c r="G60" s="55">
        <f t="shared" si="10"/>
        <v>-4.5791634227475404</v>
      </c>
      <c r="H60" s="97">
        <f t="shared" si="11"/>
        <v>64699</v>
      </c>
      <c r="Q60" s="390" t="s">
        <v>49</v>
      </c>
    </row>
    <row r="61" spans="1:17">
      <c r="A61" s="323"/>
      <c r="B61" s="324" t="s">
        <v>50</v>
      </c>
      <c r="C61" s="324"/>
      <c r="D61" s="324"/>
      <c r="E61" s="16">
        <v>-576</v>
      </c>
      <c r="F61" s="16">
        <f>[1]BP!$P$46+[1]BP!$P$47</f>
        <v>-14120</v>
      </c>
      <c r="G61" s="55">
        <f t="shared" si="10"/>
        <v>23.513888888888889</v>
      </c>
      <c r="H61" s="97">
        <f t="shared" si="11"/>
        <v>-13544</v>
      </c>
      <c r="I61" s="347"/>
      <c r="Q61" s="390" t="s">
        <v>50</v>
      </c>
    </row>
    <row r="62" spans="1:17">
      <c r="A62" s="323"/>
      <c r="B62" s="324" t="s">
        <v>431</v>
      </c>
      <c r="C62" s="324"/>
      <c r="D62" s="324"/>
      <c r="E62" s="16">
        <v>112180</v>
      </c>
      <c r="F62" s="16">
        <f>[1]BP!$P$50</f>
        <v>0</v>
      </c>
      <c r="G62" s="55">
        <f t="shared" si="10"/>
        <v>-1</v>
      </c>
      <c r="H62" s="97">
        <f t="shared" si="11"/>
        <v>-112180</v>
      </c>
      <c r="I62" s="347"/>
      <c r="Q62" s="390" t="s">
        <v>431</v>
      </c>
    </row>
    <row r="63" spans="1:17">
      <c r="A63" s="323"/>
      <c r="B63" s="3" t="s">
        <v>495</v>
      </c>
      <c r="C63" s="324"/>
      <c r="D63" s="324"/>
      <c r="E63" s="16">
        <v>59482</v>
      </c>
      <c r="F63" s="16">
        <f>[1]BP!$P$48</f>
        <v>167567</v>
      </c>
      <c r="G63" s="55">
        <f t="shared" si="10"/>
        <v>1.8171043340842608</v>
      </c>
      <c r="H63" s="97">
        <f t="shared" si="11"/>
        <v>108085</v>
      </c>
      <c r="I63" s="347"/>
      <c r="Q63" s="390" t="s">
        <v>495</v>
      </c>
    </row>
    <row r="64" spans="1:17">
      <c r="A64" s="323"/>
      <c r="B64" s="319" t="s">
        <v>496</v>
      </c>
      <c r="C64" s="324"/>
      <c r="D64" s="324"/>
      <c r="E64" s="16">
        <v>4485</v>
      </c>
      <c r="F64" s="16">
        <f>[1]BP!$P$51</f>
        <v>6487</v>
      </c>
      <c r="G64" s="55">
        <f t="shared" si="10"/>
        <v>0.44637681159420284</v>
      </c>
      <c r="H64" s="97">
        <f t="shared" ref="H64" si="12">F64-E64</f>
        <v>2002</v>
      </c>
      <c r="I64" s="347"/>
      <c r="Q64" s="390" t="s">
        <v>526</v>
      </c>
    </row>
    <row r="65" spans="1:8">
      <c r="A65" s="316" t="s">
        <v>51</v>
      </c>
      <c r="B65" s="317"/>
      <c r="C65" s="317"/>
      <c r="D65" s="317"/>
      <c r="E65" s="32">
        <f>SUM(E55:E64)</f>
        <v>408423</v>
      </c>
      <c r="F65" s="32">
        <f>SUM(F55:F64)</f>
        <v>437899</v>
      </c>
      <c r="G65" s="79">
        <f>F65/E65-1</f>
        <v>7.2170274445856331E-2</v>
      </c>
      <c r="H65" s="81">
        <f>F65-E65</f>
        <v>29476</v>
      </c>
    </row>
    <row r="66" spans="1:8">
      <c r="A66" s="323"/>
      <c r="B66" s="324"/>
      <c r="C66" s="324"/>
      <c r="D66" s="324"/>
      <c r="E66" s="47"/>
      <c r="F66" s="47"/>
      <c r="G66" s="55"/>
      <c r="H66" s="56"/>
    </row>
    <row r="67" spans="1:8" ht="12.5" thickBot="1">
      <c r="A67" s="327" t="s">
        <v>432</v>
      </c>
      <c r="B67" s="328"/>
      <c r="C67" s="328"/>
      <c r="D67" s="328"/>
      <c r="E67" s="33">
        <f>E65+E54</f>
        <v>685591</v>
      </c>
      <c r="F67" s="33">
        <f>F65+F54</f>
        <v>680474</v>
      </c>
      <c r="G67" s="74">
        <f>F67/E67-1</f>
        <v>-7.4636335657848329E-3</v>
      </c>
      <c r="H67" s="75">
        <f>F67-E67</f>
        <v>-5117</v>
      </c>
    </row>
    <row r="68" spans="1:8">
      <c r="E68" s="348">
        <f>E67-E26</f>
        <v>0</v>
      </c>
      <c r="F68" s="348">
        <f>F67-F26</f>
        <v>0</v>
      </c>
    </row>
    <row r="69" spans="1:8">
      <c r="E69" s="346"/>
      <c r="F69" s="349"/>
      <c r="H69" s="350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B2" sqref="B2"/>
    </sheetView>
  </sheetViews>
  <sheetFormatPr defaultColWidth="9.08984375" defaultRowHeight="15.75" customHeight="1" outlineLevelRow="1"/>
  <cols>
    <col min="1" max="1" width="2.90625" style="3" customWidth="1"/>
    <col min="2" max="2" width="52.08984375" style="3" customWidth="1"/>
    <col min="3" max="3" width="9.54296875" style="29" customWidth="1"/>
    <col min="4" max="4" width="11.90625" style="29" customWidth="1"/>
    <col min="5" max="5" width="13.54296875" style="29" customWidth="1"/>
    <col min="6" max="6" width="10.36328125" style="29" customWidth="1"/>
    <col min="7" max="7" width="11.90625" style="43" hidden="1" customWidth="1"/>
    <col min="8" max="8" width="12.36328125" style="29" hidden="1" customWidth="1"/>
    <col min="9" max="9" width="11.6328125" style="29" hidden="1" customWidth="1"/>
    <col min="10" max="10" width="10.54296875" style="29" hidden="1" customWidth="1"/>
    <col min="11" max="11" width="11.36328125" style="43" hidden="1" customWidth="1"/>
    <col min="12" max="12" width="11.36328125" style="29" hidden="1" customWidth="1"/>
    <col min="13" max="13" width="10.90625" style="29" hidden="1" customWidth="1"/>
    <col min="14" max="14" width="11.08984375" style="29" hidden="1" customWidth="1"/>
    <col min="15" max="15" width="13.90625" style="43" hidden="1" customWidth="1"/>
    <col min="16" max="16" width="13.90625" style="29" hidden="1" customWidth="1"/>
    <col min="17" max="17" width="10.90625" style="29" hidden="1" customWidth="1"/>
    <col min="18" max="18" width="11.08984375" style="29" hidden="1" customWidth="1"/>
    <col min="19" max="19" width="10.453125" style="11" customWidth="1"/>
    <col min="20" max="20" width="10.54296875" style="29" customWidth="1"/>
    <col min="21" max="21" width="11.08984375" style="65" customWidth="1"/>
    <col min="22" max="22" width="11.54296875" style="65" customWidth="1"/>
    <col min="23" max="23" width="13.08984375" style="11" customWidth="1"/>
    <col min="24" max="24" width="6.08984375" style="11" bestFit="1" customWidth="1"/>
    <col min="25" max="26" width="9.08984375" style="11"/>
    <col min="27" max="27" width="9.08984375" style="391"/>
    <col min="28" max="16384" width="9.08984375" style="11"/>
  </cols>
  <sheetData>
    <row r="1" spans="1:27" ht="90.5" customHeight="1" thickBot="1"/>
    <row r="2" spans="1:27" ht="15.75" customHeight="1" thickBot="1">
      <c r="A2" s="320" t="s">
        <v>433</v>
      </c>
      <c r="B2" s="321"/>
      <c r="C2" s="1" t="s">
        <v>535</v>
      </c>
      <c r="D2" s="1" t="s">
        <v>540</v>
      </c>
      <c r="E2" s="84" t="s">
        <v>0</v>
      </c>
      <c r="F2" s="85" t="s">
        <v>1</v>
      </c>
      <c r="G2" s="1" t="s">
        <v>536</v>
      </c>
      <c r="H2" s="1" t="s">
        <v>541</v>
      </c>
      <c r="I2" s="84" t="s">
        <v>0</v>
      </c>
      <c r="J2" s="85" t="s">
        <v>1</v>
      </c>
      <c r="K2" s="1" t="s">
        <v>537</v>
      </c>
      <c r="L2" s="1" t="s">
        <v>542</v>
      </c>
      <c r="M2" s="84" t="s">
        <v>0</v>
      </c>
      <c r="N2" s="85" t="s">
        <v>1</v>
      </c>
      <c r="O2" s="1" t="s">
        <v>538</v>
      </c>
      <c r="P2" s="1" t="s">
        <v>543</v>
      </c>
      <c r="Q2" s="84" t="s">
        <v>0</v>
      </c>
      <c r="R2" s="85" t="s">
        <v>1</v>
      </c>
      <c r="S2" s="1">
        <v>2025</v>
      </c>
      <c r="T2" s="5">
        <v>2026</v>
      </c>
      <c r="U2" s="84" t="s">
        <v>0</v>
      </c>
      <c r="V2" s="85" t="s">
        <v>1</v>
      </c>
    </row>
    <row r="3" spans="1:27" ht="15.75" customHeight="1">
      <c r="A3" s="322" t="s">
        <v>8</v>
      </c>
      <c r="C3" s="45"/>
      <c r="D3" s="26"/>
      <c r="F3" s="30"/>
      <c r="G3" s="26"/>
      <c r="H3" s="26"/>
      <c r="J3" s="30"/>
      <c r="K3" s="26"/>
      <c r="L3" s="26"/>
      <c r="N3" s="30"/>
      <c r="O3" s="26"/>
      <c r="P3" s="26"/>
      <c r="R3" s="30"/>
      <c r="S3" s="44"/>
      <c r="T3" s="26"/>
      <c r="V3" s="66"/>
    </row>
    <row r="4" spans="1:27" s="386" customFormat="1" ht="15.75" customHeight="1" outlineLevel="1">
      <c r="A4" s="380"/>
      <c r="B4" s="381" t="s">
        <v>9</v>
      </c>
      <c r="C4" s="394">
        <v>5205</v>
      </c>
      <c r="D4" s="385">
        <v>7007</v>
      </c>
      <c r="E4" s="383">
        <f>IFERROR(D4/C4-1,"")</f>
        <v>0.34620557156580212</v>
      </c>
      <c r="F4" s="384">
        <f>D4-C4</f>
        <v>1802</v>
      </c>
      <c r="G4" s="382">
        <v>23293</v>
      </c>
      <c r="H4" s="385"/>
      <c r="I4" s="383">
        <f>IFERROR(H4/G4-1,"")</f>
        <v>-1</v>
      </c>
      <c r="J4" s="384">
        <f>H4-G4</f>
        <v>-23293</v>
      </c>
      <c r="K4" s="382">
        <v>17452</v>
      </c>
      <c r="L4" s="385"/>
      <c r="M4" s="383">
        <f>IFERROR(L4/K4-1,"")</f>
        <v>-1</v>
      </c>
      <c r="N4" s="384">
        <f>L4-K4</f>
        <v>-17452</v>
      </c>
      <c r="O4" s="385">
        <v>33872</v>
      </c>
      <c r="P4" s="385"/>
      <c r="Q4" s="383">
        <f>IFERROR(P4/O4-1,"")</f>
        <v>-1</v>
      </c>
      <c r="R4" s="384">
        <f>P4-O4</f>
        <v>-33872</v>
      </c>
      <c r="S4" s="385">
        <f>C4</f>
        <v>5205</v>
      </c>
      <c r="T4" s="385">
        <f>[1]DFC1!G8</f>
        <v>7007</v>
      </c>
      <c r="U4" s="383">
        <f>IFERROR(T4/S4-1,"")</f>
        <v>0.34620557156580212</v>
      </c>
      <c r="V4" s="384">
        <f>T4-S4</f>
        <v>1802</v>
      </c>
      <c r="W4" s="387"/>
      <c r="X4" s="387"/>
      <c r="AA4" s="392" t="s">
        <v>9</v>
      </c>
    </row>
    <row r="5" spans="1:27" ht="15.75" customHeight="1">
      <c r="A5" s="323" t="s">
        <v>10</v>
      </c>
      <c r="B5" s="324"/>
      <c r="C5" s="13"/>
      <c r="D5" s="93"/>
      <c r="E5" s="55"/>
      <c r="F5" s="94"/>
      <c r="G5" s="93"/>
      <c r="H5" s="93"/>
      <c r="I5" s="55"/>
      <c r="J5" s="94"/>
      <c r="K5" s="93"/>
      <c r="L5" s="93"/>
      <c r="M5" s="55"/>
      <c r="N5" s="94"/>
      <c r="O5" s="93"/>
      <c r="P5" s="93"/>
      <c r="Q5" s="55"/>
      <c r="R5" s="94"/>
      <c r="S5" s="93"/>
      <c r="T5" s="93"/>
      <c r="U5" s="55"/>
      <c r="V5" s="94"/>
      <c r="W5" s="387"/>
      <c r="X5" s="337"/>
    </row>
    <row r="6" spans="1:27" ht="15.75" customHeight="1" outlineLevel="1">
      <c r="A6" s="323"/>
      <c r="B6" s="324" t="s">
        <v>11</v>
      </c>
      <c r="C6" s="93">
        <v>2691</v>
      </c>
      <c r="D6" s="93">
        <f>T6</f>
        <v>3244</v>
      </c>
      <c r="E6" s="55">
        <f t="shared" ref="E6:E23" si="0">IFERROR(D6/C6-1,"")</f>
        <v>0.20549981419546648</v>
      </c>
      <c r="F6" s="94">
        <f t="shared" ref="F6:F23" si="1">D6-C6</f>
        <v>553</v>
      </c>
      <c r="G6" s="93">
        <v>2843</v>
      </c>
      <c r="H6" s="93"/>
      <c r="I6" s="55">
        <f t="shared" ref="I6:I23" si="2">IFERROR(H6/G6-1,"")</f>
        <v>-1</v>
      </c>
      <c r="J6" s="94">
        <f t="shared" ref="J6:J23" si="3">H6-G6</f>
        <v>-2843</v>
      </c>
      <c r="K6" s="93">
        <v>2896</v>
      </c>
      <c r="L6" s="93"/>
      <c r="M6" s="55">
        <f t="shared" ref="M6:M23" si="4">IFERROR(L6/K6-1,"")</f>
        <v>-1</v>
      </c>
      <c r="N6" s="94">
        <f t="shared" ref="N6:N23" si="5">L6-K6</f>
        <v>-2896</v>
      </c>
      <c r="O6" s="93">
        <v>3018</v>
      </c>
      <c r="P6" s="93"/>
      <c r="Q6" s="55">
        <f t="shared" ref="Q6:Q23" si="6">IFERROR(P6/O6-1,"")</f>
        <v>-1</v>
      </c>
      <c r="R6" s="94">
        <f t="shared" ref="R6:R23" si="7">P6-O6</f>
        <v>-3018</v>
      </c>
      <c r="S6" s="98">
        <f>C6</f>
        <v>2691</v>
      </c>
      <c r="T6" s="93">
        <f>[1]DFC1!G11</f>
        <v>3244</v>
      </c>
      <c r="U6" s="55">
        <f t="shared" ref="U6:U23" si="8">IFERROR(T6/S6-1,"")</f>
        <v>0.20549981419546648</v>
      </c>
      <c r="V6" s="94">
        <f t="shared" ref="V6:V23" si="9">T6-S6</f>
        <v>553</v>
      </c>
      <c r="W6" s="387"/>
      <c r="X6" s="337"/>
      <c r="AA6" s="391" t="s">
        <v>11</v>
      </c>
    </row>
    <row r="7" spans="1:27" ht="15.75" customHeight="1" outlineLevel="1">
      <c r="A7" s="323"/>
      <c r="B7" s="324" t="s">
        <v>434</v>
      </c>
      <c r="C7" s="93"/>
      <c r="D7" s="93">
        <f t="shared" ref="D7:D22" si="10">T7</f>
        <v>0</v>
      </c>
      <c r="E7" s="55" t="str">
        <f t="shared" si="0"/>
        <v/>
      </c>
      <c r="F7" s="94">
        <f t="shared" si="1"/>
        <v>0</v>
      </c>
      <c r="G7" s="93">
        <v>0</v>
      </c>
      <c r="H7" s="93"/>
      <c r="I7" s="55" t="str">
        <f t="shared" si="2"/>
        <v/>
      </c>
      <c r="J7" s="94">
        <f t="shared" si="3"/>
        <v>0</v>
      </c>
      <c r="K7" s="93">
        <v>0</v>
      </c>
      <c r="L7" s="93"/>
      <c r="M7" s="55" t="str">
        <f t="shared" si="4"/>
        <v/>
      </c>
      <c r="N7" s="94">
        <f t="shared" si="5"/>
        <v>0</v>
      </c>
      <c r="O7" s="93">
        <v>0</v>
      </c>
      <c r="P7" s="93"/>
      <c r="Q7" s="55" t="str">
        <f t="shared" si="6"/>
        <v/>
      </c>
      <c r="R7" s="94">
        <f t="shared" si="7"/>
        <v>0</v>
      </c>
      <c r="S7" s="98">
        <f t="shared" ref="S7:S21" si="11">C7</f>
        <v>0</v>
      </c>
      <c r="T7" s="93">
        <v>0</v>
      </c>
      <c r="U7" s="55" t="str">
        <f t="shared" si="8"/>
        <v/>
      </c>
      <c r="V7" s="94">
        <f t="shared" si="9"/>
        <v>0</v>
      </c>
      <c r="W7" s="387"/>
      <c r="X7" s="337"/>
      <c r="AA7" s="391" t="s">
        <v>534</v>
      </c>
    </row>
    <row r="8" spans="1:27" ht="15.75" customHeight="1" outlineLevel="1">
      <c r="A8" s="323"/>
      <c r="B8" s="324" t="s">
        <v>435</v>
      </c>
      <c r="C8" s="93">
        <v>1049</v>
      </c>
      <c r="D8" s="93">
        <f t="shared" si="10"/>
        <v>1636</v>
      </c>
      <c r="E8" s="55">
        <f t="shared" si="0"/>
        <v>0.55958055290753106</v>
      </c>
      <c r="F8" s="94">
        <f t="shared" si="1"/>
        <v>587</v>
      </c>
      <c r="G8" s="93">
        <v>707</v>
      </c>
      <c r="H8" s="93"/>
      <c r="I8" s="55">
        <f t="shared" si="2"/>
        <v>-1</v>
      </c>
      <c r="J8" s="94">
        <f t="shared" si="3"/>
        <v>-707</v>
      </c>
      <c r="K8" s="93">
        <v>-232</v>
      </c>
      <c r="L8" s="93"/>
      <c r="M8" s="55">
        <f t="shared" si="4"/>
        <v>-1</v>
      </c>
      <c r="N8" s="94">
        <f t="shared" si="5"/>
        <v>232</v>
      </c>
      <c r="O8" s="93">
        <v>321</v>
      </c>
      <c r="P8" s="93"/>
      <c r="Q8" s="55">
        <f t="shared" si="6"/>
        <v>-1</v>
      </c>
      <c r="R8" s="94">
        <f t="shared" si="7"/>
        <v>-321</v>
      </c>
      <c r="S8" s="98">
        <f t="shared" si="11"/>
        <v>1049</v>
      </c>
      <c r="T8" s="93">
        <f>VLOOKUP("Provisão (reversão) para valor recuperável de estoques",[1]DFC1!$A:$H,7,0)</f>
        <v>1636</v>
      </c>
      <c r="U8" s="55">
        <f t="shared" si="8"/>
        <v>0.55958055290753106</v>
      </c>
      <c r="V8" s="94">
        <f t="shared" si="9"/>
        <v>587</v>
      </c>
      <c r="W8" s="387"/>
      <c r="X8" s="337"/>
      <c r="AA8" s="391" t="s">
        <v>331</v>
      </c>
    </row>
    <row r="9" spans="1:27" ht="15.75" customHeight="1" outlineLevel="1">
      <c r="A9" s="323"/>
      <c r="B9" s="324" t="s">
        <v>12</v>
      </c>
      <c r="C9" s="93">
        <v>532</v>
      </c>
      <c r="D9" s="93">
        <f t="shared" si="10"/>
        <v>2159</v>
      </c>
      <c r="E9" s="55">
        <f t="shared" si="0"/>
        <v>3.0582706766917296</v>
      </c>
      <c r="F9" s="94">
        <f t="shared" si="1"/>
        <v>1627</v>
      </c>
      <c r="G9" s="93">
        <v>763</v>
      </c>
      <c r="H9" s="93"/>
      <c r="I9" s="55">
        <f t="shared" si="2"/>
        <v>-1</v>
      </c>
      <c r="J9" s="94">
        <f t="shared" si="3"/>
        <v>-763</v>
      </c>
      <c r="K9" s="93">
        <v>1182</v>
      </c>
      <c r="L9" s="93"/>
      <c r="M9" s="55">
        <f t="shared" si="4"/>
        <v>-1</v>
      </c>
      <c r="N9" s="94">
        <f t="shared" si="5"/>
        <v>-1182</v>
      </c>
      <c r="O9" s="93">
        <v>1990</v>
      </c>
      <c r="P9" s="93"/>
      <c r="Q9" s="55">
        <f t="shared" si="6"/>
        <v>-1</v>
      </c>
      <c r="R9" s="94">
        <f t="shared" si="7"/>
        <v>-1990</v>
      </c>
      <c r="S9" s="98">
        <f t="shared" si="11"/>
        <v>532</v>
      </c>
      <c r="T9" s="98">
        <f>VLOOKUP("Provisão (reversão) para valor recuperável de contas a receber",[1]DFC1!$A:$H,7,0)</f>
        <v>2159</v>
      </c>
      <c r="U9" s="55">
        <f t="shared" si="8"/>
        <v>3.0582706766917296</v>
      </c>
      <c r="V9" s="94">
        <f t="shared" si="9"/>
        <v>1627</v>
      </c>
      <c r="W9" s="387"/>
      <c r="X9" s="337"/>
      <c r="AA9" s="391" t="s">
        <v>527</v>
      </c>
    </row>
    <row r="10" spans="1:27" ht="15.75" customHeight="1" outlineLevel="1">
      <c r="A10" s="323"/>
      <c r="B10" s="324" t="s">
        <v>462</v>
      </c>
      <c r="C10" s="93"/>
      <c r="D10" s="93">
        <f t="shared" si="10"/>
        <v>0</v>
      </c>
      <c r="E10" s="55" t="str">
        <f t="shared" si="0"/>
        <v/>
      </c>
      <c r="F10" s="94">
        <f t="shared" si="1"/>
        <v>0</v>
      </c>
      <c r="G10" s="93">
        <v>0</v>
      </c>
      <c r="H10" s="93"/>
      <c r="I10" s="55" t="str">
        <f t="shared" si="2"/>
        <v/>
      </c>
      <c r="J10" s="94">
        <f t="shared" si="3"/>
        <v>0</v>
      </c>
      <c r="K10" s="93">
        <v>0</v>
      </c>
      <c r="L10" s="93"/>
      <c r="M10" s="55" t="str">
        <f t="shared" si="4"/>
        <v/>
      </c>
      <c r="N10" s="94">
        <f t="shared" si="5"/>
        <v>0</v>
      </c>
      <c r="O10" s="93">
        <v>0</v>
      </c>
      <c r="P10" s="93"/>
      <c r="Q10" s="55" t="str">
        <f t="shared" si="6"/>
        <v/>
      </c>
      <c r="R10" s="94">
        <f t="shared" si="7"/>
        <v>0</v>
      </c>
      <c r="S10" s="98">
        <f t="shared" si="11"/>
        <v>0</v>
      </c>
      <c r="T10" s="93">
        <f>VLOOKUP(B10,[1]DFC1!$A:$H,7,0)</f>
        <v>0</v>
      </c>
      <c r="U10" s="55" t="str">
        <f t="shared" si="8"/>
        <v/>
      </c>
      <c r="V10" s="94">
        <f t="shared" si="9"/>
        <v>0</v>
      </c>
      <c r="W10" s="387"/>
      <c r="X10" s="337"/>
      <c r="AA10" s="391" t="s">
        <v>462</v>
      </c>
    </row>
    <row r="11" spans="1:27" s="99" customFormat="1" ht="15.75" customHeight="1" outlineLevel="1">
      <c r="A11" s="339"/>
      <c r="B11" s="340" t="s">
        <v>436</v>
      </c>
      <c r="C11" s="98"/>
      <c r="D11" s="93">
        <f t="shared" si="10"/>
        <v>0</v>
      </c>
      <c r="E11" s="60" t="str">
        <f t="shared" si="0"/>
        <v/>
      </c>
      <c r="F11" s="397">
        <f t="shared" si="1"/>
        <v>0</v>
      </c>
      <c r="G11" s="98">
        <v>0</v>
      </c>
      <c r="H11" s="98"/>
      <c r="I11" s="60" t="str">
        <f t="shared" si="2"/>
        <v/>
      </c>
      <c r="J11" s="397">
        <f t="shared" si="3"/>
        <v>0</v>
      </c>
      <c r="K11" s="98">
        <v>0</v>
      </c>
      <c r="L11" s="98"/>
      <c r="M11" s="60" t="str">
        <f t="shared" si="4"/>
        <v/>
      </c>
      <c r="N11" s="397">
        <f t="shared" si="5"/>
        <v>0</v>
      </c>
      <c r="O11" s="98">
        <v>-14696</v>
      </c>
      <c r="P11" s="98"/>
      <c r="Q11" s="60">
        <f t="shared" si="6"/>
        <v>-1</v>
      </c>
      <c r="R11" s="397">
        <f t="shared" si="7"/>
        <v>14696</v>
      </c>
      <c r="S11" s="98">
        <f t="shared" si="11"/>
        <v>0</v>
      </c>
      <c r="T11" s="98">
        <f>[1]DFC1!$G$15</f>
        <v>0</v>
      </c>
      <c r="U11" s="60" t="str">
        <f t="shared" si="8"/>
        <v/>
      </c>
      <c r="V11" s="397">
        <f t="shared" si="9"/>
        <v>0</v>
      </c>
      <c r="W11" s="398"/>
      <c r="X11" s="399"/>
      <c r="AA11" s="393" t="s">
        <v>436</v>
      </c>
    </row>
    <row r="12" spans="1:27" ht="15.75" customHeight="1" outlineLevel="1">
      <c r="A12" s="323"/>
      <c r="B12" s="324" t="s">
        <v>458</v>
      </c>
      <c r="C12" s="93"/>
      <c r="D12" s="93">
        <f t="shared" si="10"/>
        <v>0</v>
      </c>
      <c r="E12" s="55" t="str">
        <f t="shared" si="0"/>
        <v/>
      </c>
      <c r="F12" s="94">
        <f t="shared" si="1"/>
        <v>0</v>
      </c>
      <c r="G12" s="93">
        <v>0</v>
      </c>
      <c r="H12" s="93"/>
      <c r="I12" s="55" t="str">
        <f t="shared" si="2"/>
        <v/>
      </c>
      <c r="J12" s="94">
        <f t="shared" si="3"/>
        <v>0</v>
      </c>
      <c r="K12" s="93">
        <v>0</v>
      </c>
      <c r="L12" s="93"/>
      <c r="M12" s="55" t="str">
        <f t="shared" si="4"/>
        <v/>
      </c>
      <c r="N12" s="94">
        <f t="shared" si="5"/>
        <v>0</v>
      </c>
      <c r="O12" s="93">
        <v>0</v>
      </c>
      <c r="P12" s="93"/>
      <c r="Q12" s="55" t="str">
        <f t="shared" si="6"/>
        <v/>
      </c>
      <c r="R12" s="94">
        <f t="shared" si="7"/>
        <v>0</v>
      </c>
      <c r="S12" s="98">
        <f t="shared" si="11"/>
        <v>0</v>
      </c>
      <c r="T12" s="93">
        <f>VLOOKUP(B12,[1]DFC1!$A:$H,7,0)</f>
        <v>0</v>
      </c>
      <c r="U12" s="55" t="str">
        <f t="shared" si="8"/>
        <v/>
      </c>
      <c r="V12" s="94">
        <f t="shared" si="9"/>
        <v>0</v>
      </c>
      <c r="W12" s="387"/>
      <c r="X12" s="337"/>
      <c r="AA12" s="391" t="s">
        <v>458</v>
      </c>
    </row>
    <row r="13" spans="1:27" ht="15.75" customHeight="1" outlineLevel="1">
      <c r="A13" s="323"/>
      <c r="B13" s="324" t="s">
        <v>437</v>
      </c>
      <c r="C13" s="93">
        <v>592</v>
      </c>
      <c r="D13" s="93">
        <f t="shared" si="10"/>
        <v>431</v>
      </c>
      <c r="E13" s="55">
        <f t="shared" si="0"/>
        <v>-0.27195945945945943</v>
      </c>
      <c r="F13" s="94">
        <f t="shared" si="1"/>
        <v>-161</v>
      </c>
      <c r="G13" s="93">
        <v>256</v>
      </c>
      <c r="H13" s="93"/>
      <c r="I13" s="55">
        <f t="shared" si="2"/>
        <v>-1</v>
      </c>
      <c r="J13" s="94">
        <f t="shared" si="3"/>
        <v>-256</v>
      </c>
      <c r="K13" s="93">
        <v>63</v>
      </c>
      <c r="L13" s="93"/>
      <c r="M13" s="55">
        <f t="shared" si="4"/>
        <v>-1</v>
      </c>
      <c r="N13" s="94">
        <f t="shared" si="5"/>
        <v>-63</v>
      </c>
      <c r="O13" s="93">
        <v>1586</v>
      </c>
      <c r="P13" s="93"/>
      <c r="Q13" s="55">
        <f t="shared" si="6"/>
        <v>-1</v>
      </c>
      <c r="R13" s="94">
        <f t="shared" si="7"/>
        <v>-1586</v>
      </c>
      <c r="S13" s="98">
        <f t="shared" si="11"/>
        <v>592</v>
      </c>
      <c r="T13" s="93">
        <f>[1]DFC1!$G$17</f>
        <v>431</v>
      </c>
      <c r="U13" s="55">
        <f t="shared" si="8"/>
        <v>-0.27195945945945943</v>
      </c>
      <c r="V13" s="94">
        <f t="shared" si="9"/>
        <v>-161</v>
      </c>
      <c r="W13" s="387"/>
      <c r="X13" s="337"/>
      <c r="AA13" s="391" t="s">
        <v>45</v>
      </c>
    </row>
    <row r="14" spans="1:27" ht="15.75" customHeight="1" outlineLevel="1">
      <c r="A14" s="323"/>
      <c r="B14" s="324" t="s">
        <v>13</v>
      </c>
      <c r="C14" s="93">
        <v>-115</v>
      </c>
      <c r="D14" s="93">
        <f t="shared" si="10"/>
        <v>-182</v>
      </c>
      <c r="E14" s="55">
        <f t="shared" si="0"/>
        <v>0.58260869565217388</v>
      </c>
      <c r="F14" s="94">
        <f t="shared" si="1"/>
        <v>-67</v>
      </c>
      <c r="G14" s="93">
        <v>224</v>
      </c>
      <c r="H14" s="93"/>
      <c r="I14" s="55">
        <f t="shared" si="2"/>
        <v>-1</v>
      </c>
      <c r="J14" s="94">
        <f t="shared" si="3"/>
        <v>-224</v>
      </c>
      <c r="K14" s="93">
        <v>296</v>
      </c>
      <c r="L14" s="93"/>
      <c r="M14" s="55">
        <f t="shared" si="4"/>
        <v>-1</v>
      </c>
      <c r="N14" s="94">
        <f t="shared" si="5"/>
        <v>-296</v>
      </c>
      <c r="O14" s="93">
        <v>9</v>
      </c>
      <c r="P14" s="93"/>
      <c r="Q14" s="55">
        <f t="shared" si="6"/>
        <v>-1</v>
      </c>
      <c r="R14" s="94">
        <f t="shared" si="7"/>
        <v>-9</v>
      </c>
      <c r="S14" s="98">
        <f t="shared" si="11"/>
        <v>-115</v>
      </c>
      <c r="T14" s="93">
        <f>VLOOKUP(B14,[1]DFC1!$A:$H,7,0)</f>
        <v>-182</v>
      </c>
      <c r="U14" s="55">
        <f t="shared" si="8"/>
        <v>0.58260869565217388</v>
      </c>
      <c r="V14" s="94">
        <f t="shared" si="9"/>
        <v>-67</v>
      </c>
      <c r="W14" s="387"/>
      <c r="X14" s="337"/>
      <c r="AA14" s="391" t="s">
        <v>13</v>
      </c>
    </row>
    <row r="15" spans="1:27" ht="15.75" customHeight="1" outlineLevel="1">
      <c r="A15" s="323"/>
      <c r="B15" s="324" t="s">
        <v>14</v>
      </c>
      <c r="C15" s="93"/>
      <c r="D15" s="93">
        <f t="shared" si="10"/>
        <v>0</v>
      </c>
      <c r="E15" s="55" t="str">
        <f t="shared" si="0"/>
        <v/>
      </c>
      <c r="F15" s="94">
        <f t="shared" si="1"/>
        <v>0</v>
      </c>
      <c r="G15" s="93">
        <v>0</v>
      </c>
      <c r="H15" s="93"/>
      <c r="I15" s="55" t="str">
        <f t="shared" si="2"/>
        <v/>
      </c>
      <c r="J15" s="94">
        <f t="shared" si="3"/>
        <v>0</v>
      </c>
      <c r="K15" s="93">
        <v>0</v>
      </c>
      <c r="L15" s="93"/>
      <c r="M15" s="55" t="str">
        <f t="shared" si="4"/>
        <v/>
      </c>
      <c r="N15" s="94">
        <f t="shared" si="5"/>
        <v>0</v>
      </c>
      <c r="O15" s="93">
        <v>0</v>
      </c>
      <c r="P15" s="93"/>
      <c r="Q15" s="55" t="str">
        <f t="shared" si="6"/>
        <v/>
      </c>
      <c r="R15" s="94">
        <f t="shared" si="7"/>
        <v>0</v>
      </c>
      <c r="S15" s="98">
        <f t="shared" si="11"/>
        <v>0</v>
      </c>
      <c r="T15" s="93">
        <v>0</v>
      </c>
      <c r="U15" s="55" t="str">
        <f t="shared" si="8"/>
        <v/>
      </c>
      <c r="V15" s="94">
        <f t="shared" si="9"/>
        <v>0</v>
      </c>
      <c r="W15" s="387"/>
      <c r="X15" s="337"/>
      <c r="AA15" s="391" t="s">
        <v>528</v>
      </c>
    </row>
    <row r="16" spans="1:27" ht="15.75" customHeight="1" outlineLevel="1">
      <c r="A16" s="323"/>
      <c r="B16" s="324" t="s">
        <v>457</v>
      </c>
      <c r="C16" s="93"/>
      <c r="D16" s="93">
        <f t="shared" si="10"/>
        <v>0</v>
      </c>
      <c r="E16" s="55" t="str">
        <f t="shared" si="0"/>
        <v/>
      </c>
      <c r="F16" s="94">
        <f t="shared" si="1"/>
        <v>0</v>
      </c>
      <c r="G16" s="93">
        <v>0</v>
      </c>
      <c r="H16" s="93"/>
      <c r="I16" s="55" t="str">
        <f t="shared" si="2"/>
        <v/>
      </c>
      <c r="J16" s="94">
        <f t="shared" si="3"/>
        <v>0</v>
      </c>
      <c r="K16" s="93">
        <v>0</v>
      </c>
      <c r="L16" s="93"/>
      <c r="M16" s="55" t="str">
        <f t="shared" si="4"/>
        <v/>
      </c>
      <c r="N16" s="94">
        <f t="shared" si="5"/>
        <v>0</v>
      </c>
      <c r="O16" s="93">
        <v>0</v>
      </c>
      <c r="P16" s="93"/>
      <c r="Q16" s="55" t="str">
        <f t="shared" si="6"/>
        <v/>
      </c>
      <c r="R16" s="94">
        <f t="shared" si="7"/>
        <v>0</v>
      </c>
      <c r="S16" s="98">
        <f t="shared" si="11"/>
        <v>0</v>
      </c>
      <c r="T16" s="93">
        <v>0</v>
      </c>
      <c r="U16" s="55" t="str">
        <f t="shared" si="8"/>
        <v/>
      </c>
      <c r="V16" s="94">
        <f t="shared" si="9"/>
        <v>0</v>
      </c>
      <c r="W16" s="387"/>
      <c r="X16" s="337"/>
      <c r="AA16" s="391" t="s">
        <v>457</v>
      </c>
    </row>
    <row r="17" spans="1:27" ht="15.75" customHeight="1" outlineLevel="1">
      <c r="A17" s="323"/>
      <c r="B17" s="324" t="s">
        <v>15</v>
      </c>
      <c r="C17" s="93">
        <v>3253</v>
      </c>
      <c r="D17" s="93">
        <f t="shared" si="10"/>
        <v>922</v>
      </c>
      <c r="E17" s="55">
        <f t="shared" si="0"/>
        <v>-0.71656932062711343</v>
      </c>
      <c r="F17" s="94">
        <f t="shared" si="1"/>
        <v>-2331</v>
      </c>
      <c r="G17" s="93">
        <v>3258</v>
      </c>
      <c r="H17" s="93"/>
      <c r="I17" s="55">
        <f t="shared" si="2"/>
        <v>-1</v>
      </c>
      <c r="J17" s="94">
        <f t="shared" si="3"/>
        <v>-3258</v>
      </c>
      <c r="K17" s="93">
        <v>3267</v>
      </c>
      <c r="L17" s="93"/>
      <c r="M17" s="55">
        <f t="shared" si="4"/>
        <v>-1</v>
      </c>
      <c r="N17" s="94">
        <f t="shared" si="5"/>
        <v>-3267</v>
      </c>
      <c r="O17" s="93">
        <v>2115</v>
      </c>
      <c r="P17" s="93"/>
      <c r="Q17" s="55">
        <f t="shared" si="6"/>
        <v>-1</v>
      </c>
      <c r="R17" s="94">
        <f t="shared" si="7"/>
        <v>-2115</v>
      </c>
      <c r="S17" s="98">
        <f t="shared" si="11"/>
        <v>3253</v>
      </c>
      <c r="T17" s="93">
        <f>VLOOKUP(B17,[1]DFC1!$A:$H,7,0)</f>
        <v>922</v>
      </c>
      <c r="U17" s="55">
        <f t="shared" si="8"/>
        <v>-0.71656932062711343</v>
      </c>
      <c r="V17" s="94">
        <f t="shared" si="9"/>
        <v>-2331</v>
      </c>
      <c r="W17" s="387"/>
      <c r="X17" s="337"/>
      <c r="AA17" s="391" t="s">
        <v>15</v>
      </c>
    </row>
    <row r="18" spans="1:27" ht="15.75" customHeight="1" outlineLevel="1">
      <c r="A18" s="325"/>
      <c r="B18" s="324" t="s">
        <v>456</v>
      </c>
      <c r="C18" s="93">
        <v>-2689</v>
      </c>
      <c r="D18" s="93">
        <f>T18</f>
        <v>-2650</v>
      </c>
      <c r="E18" s="55">
        <f t="shared" si="0"/>
        <v>-1.4503532911863126E-2</v>
      </c>
      <c r="F18" s="94">
        <f t="shared" si="1"/>
        <v>39</v>
      </c>
      <c r="G18" s="93">
        <v>-230</v>
      </c>
      <c r="H18" s="93"/>
      <c r="I18" s="55">
        <f t="shared" si="2"/>
        <v>-1</v>
      </c>
      <c r="J18" s="94">
        <f t="shared" si="3"/>
        <v>230</v>
      </c>
      <c r="K18" s="93">
        <v>-1176</v>
      </c>
      <c r="L18" s="93"/>
      <c r="M18" s="55">
        <f t="shared" si="4"/>
        <v>-1</v>
      </c>
      <c r="N18" s="94">
        <f t="shared" si="5"/>
        <v>1176</v>
      </c>
      <c r="O18" s="93">
        <v>1629</v>
      </c>
      <c r="P18" s="93"/>
      <c r="Q18" s="55">
        <f t="shared" si="6"/>
        <v>-1</v>
      </c>
      <c r="R18" s="94">
        <f t="shared" si="7"/>
        <v>-1629</v>
      </c>
      <c r="S18" s="98">
        <f t="shared" si="11"/>
        <v>-2689</v>
      </c>
      <c r="T18" s="93">
        <f>VLOOKUP(B18,[1]DFC1!$A:$H,7,0)</f>
        <v>-2650</v>
      </c>
      <c r="U18" s="55">
        <f t="shared" si="8"/>
        <v>-1.4503532911863126E-2</v>
      </c>
      <c r="V18" s="94">
        <f t="shared" si="9"/>
        <v>39</v>
      </c>
      <c r="W18" s="387"/>
      <c r="X18" s="337"/>
      <c r="AA18" s="391" t="s">
        <v>456</v>
      </c>
    </row>
    <row r="19" spans="1:27" ht="15.75" customHeight="1" outlineLevel="1">
      <c r="A19" s="325"/>
      <c r="B19" s="324" t="s">
        <v>414</v>
      </c>
      <c r="C19" s="93">
        <v>9844</v>
      </c>
      <c r="D19" s="93">
        <f t="shared" si="10"/>
        <v>6145</v>
      </c>
      <c r="E19" s="55">
        <f t="shared" si="0"/>
        <v>-0.37576188541243394</v>
      </c>
      <c r="F19" s="94">
        <f t="shared" si="1"/>
        <v>-3699</v>
      </c>
      <c r="G19" s="93">
        <v>3380</v>
      </c>
      <c r="H19" s="93"/>
      <c r="I19" s="55">
        <f t="shared" si="2"/>
        <v>-1</v>
      </c>
      <c r="J19" s="94">
        <f t="shared" si="3"/>
        <v>-3380</v>
      </c>
      <c r="K19" s="93">
        <v>302</v>
      </c>
      <c r="L19" s="93"/>
      <c r="M19" s="55">
        <f t="shared" si="4"/>
        <v>-1</v>
      </c>
      <c r="N19" s="94">
        <f t="shared" si="5"/>
        <v>-302</v>
      </c>
      <c r="O19" s="93">
        <v>-3471</v>
      </c>
      <c r="P19" s="93"/>
      <c r="Q19" s="55">
        <f t="shared" si="6"/>
        <v>-1</v>
      </c>
      <c r="R19" s="94">
        <f t="shared" si="7"/>
        <v>3471</v>
      </c>
      <c r="S19" s="98">
        <f t="shared" si="11"/>
        <v>9844</v>
      </c>
      <c r="T19" s="93">
        <f>VLOOKUP(B19,[1]DFC1!$A:$H,7,0)</f>
        <v>6145</v>
      </c>
      <c r="U19" s="55">
        <f t="shared" si="8"/>
        <v>-0.37576188541243394</v>
      </c>
      <c r="V19" s="94">
        <f t="shared" si="9"/>
        <v>-3699</v>
      </c>
      <c r="W19" s="387"/>
      <c r="X19" s="337"/>
      <c r="AA19" s="391" t="s">
        <v>414</v>
      </c>
    </row>
    <row r="20" spans="1:27" ht="15.75" customHeight="1" outlineLevel="1">
      <c r="A20" s="325"/>
      <c r="B20" s="326" t="s">
        <v>16</v>
      </c>
      <c r="C20" s="93">
        <v>1155</v>
      </c>
      <c r="D20" s="93">
        <f t="shared" si="10"/>
        <v>1132</v>
      </c>
      <c r="E20" s="55">
        <f t="shared" si="0"/>
        <v>-1.9913419913419883E-2</v>
      </c>
      <c r="F20" s="94">
        <f t="shared" si="1"/>
        <v>-23</v>
      </c>
      <c r="G20" s="93">
        <v>1732</v>
      </c>
      <c r="H20" s="93"/>
      <c r="I20" s="55">
        <f t="shared" si="2"/>
        <v>-1</v>
      </c>
      <c r="J20" s="94">
        <f t="shared" si="3"/>
        <v>-1732</v>
      </c>
      <c r="K20" s="93">
        <v>1620</v>
      </c>
      <c r="L20" s="93"/>
      <c r="M20" s="55">
        <f t="shared" si="4"/>
        <v>-1</v>
      </c>
      <c r="N20" s="94">
        <f t="shared" si="5"/>
        <v>-1620</v>
      </c>
      <c r="O20" s="93">
        <v>1601</v>
      </c>
      <c r="P20" s="93"/>
      <c r="Q20" s="55">
        <f t="shared" si="6"/>
        <v>-1</v>
      </c>
      <c r="R20" s="94">
        <f t="shared" si="7"/>
        <v>-1601</v>
      </c>
      <c r="S20" s="98">
        <f>C20</f>
        <v>1155</v>
      </c>
      <c r="T20" s="93">
        <f>VLOOKUP(B20,[1]DFC1!$A:$H,7,0)</f>
        <v>1132</v>
      </c>
      <c r="U20" s="55">
        <f t="shared" si="8"/>
        <v>-1.9913419913419883E-2</v>
      </c>
      <c r="V20" s="94">
        <f t="shared" si="9"/>
        <v>-23</v>
      </c>
      <c r="W20" s="387"/>
      <c r="X20" s="337"/>
      <c r="AA20" s="391" t="s">
        <v>16</v>
      </c>
    </row>
    <row r="21" spans="1:27" ht="15.75" customHeight="1" outlineLevel="1">
      <c r="A21" s="325"/>
      <c r="B21" s="326" t="s">
        <v>70</v>
      </c>
      <c r="C21" s="93">
        <v>0</v>
      </c>
      <c r="D21" s="93">
        <f t="shared" si="10"/>
        <v>0</v>
      </c>
      <c r="E21" s="67" t="str">
        <f t="shared" si="0"/>
        <v/>
      </c>
      <c r="F21" s="94">
        <f t="shared" si="1"/>
        <v>0</v>
      </c>
      <c r="G21" s="93">
        <v>0</v>
      </c>
      <c r="H21" s="93"/>
      <c r="I21" s="67" t="str">
        <f t="shared" si="2"/>
        <v/>
      </c>
      <c r="J21" s="94">
        <f t="shared" si="3"/>
        <v>0</v>
      </c>
      <c r="K21" s="93">
        <v>0</v>
      </c>
      <c r="L21" s="93"/>
      <c r="M21" s="67" t="str">
        <f t="shared" si="4"/>
        <v/>
      </c>
      <c r="N21" s="94">
        <f t="shared" si="5"/>
        <v>0</v>
      </c>
      <c r="O21" s="93">
        <v>0</v>
      </c>
      <c r="P21" s="93"/>
      <c r="Q21" s="67" t="str">
        <f t="shared" si="6"/>
        <v/>
      </c>
      <c r="R21" s="94">
        <f t="shared" si="7"/>
        <v>0</v>
      </c>
      <c r="S21" s="98">
        <f t="shared" si="11"/>
        <v>0</v>
      </c>
      <c r="T21" s="93">
        <v>0</v>
      </c>
      <c r="U21" s="67" t="str">
        <f t="shared" si="8"/>
        <v/>
      </c>
      <c r="V21" s="94">
        <f t="shared" si="9"/>
        <v>0</v>
      </c>
      <c r="W21" s="387"/>
      <c r="X21" s="337"/>
      <c r="AA21" s="391" t="s">
        <v>534</v>
      </c>
    </row>
    <row r="22" spans="1:27" ht="15.75" customHeight="1" outlineLevel="1">
      <c r="A22" s="325"/>
      <c r="B22" s="326" t="s">
        <v>17</v>
      </c>
      <c r="C22" s="93">
        <v>153</v>
      </c>
      <c r="D22" s="93">
        <f t="shared" si="10"/>
        <v>292</v>
      </c>
      <c r="E22" s="67">
        <f t="shared" si="0"/>
        <v>0.90849673202614389</v>
      </c>
      <c r="F22" s="94">
        <f t="shared" si="1"/>
        <v>139</v>
      </c>
      <c r="G22" s="93">
        <v>483</v>
      </c>
      <c r="H22" s="93"/>
      <c r="I22" s="67">
        <f t="shared" si="2"/>
        <v>-1</v>
      </c>
      <c r="J22" s="94">
        <f t="shared" si="3"/>
        <v>-483</v>
      </c>
      <c r="K22" s="93">
        <v>78</v>
      </c>
      <c r="L22" s="93"/>
      <c r="M22" s="67">
        <f t="shared" si="4"/>
        <v>-1</v>
      </c>
      <c r="N22" s="94">
        <f t="shared" si="5"/>
        <v>-78</v>
      </c>
      <c r="O22" s="93">
        <v>-135</v>
      </c>
      <c r="P22" s="93"/>
      <c r="Q22" s="67">
        <f t="shared" si="6"/>
        <v>-1</v>
      </c>
      <c r="R22" s="94">
        <f t="shared" si="7"/>
        <v>135</v>
      </c>
      <c r="S22" s="98">
        <f>C22</f>
        <v>153</v>
      </c>
      <c r="T22" s="93">
        <f>VLOOKUP(B22,[1]DFC1!$A:$H,7,0)-1</f>
        <v>292</v>
      </c>
      <c r="U22" s="67">
        <f t="shared" si="8"/>
        <v>0.90849673202614389</v>
      </c>
      <c r="V22" s="94">
        <f t="shared" si="9"/>
        <v>139</v>
      </c>
      <c r="W22" s="387"/>
      <c r="X22" s="337"/>
      <c r="Y22" s="337"/>
      <c r="AA22" s="391" t="s">
        <v>17</v>
      </c>
    </row>
    <row r="23" spans="1:27" ht="15.75" customHeight="1" outlineLevel="1">
      <c r="A23" s="329"/>
      <c r="B23" s="330"/>
      <c r="C23" s="18">
        <f>SUM(C4:C22)</f>
        <v>21670</v>
      </c>
      <c r="D23" s="18">
        <f>SUM(D4:D22)</f>
        <v>20136</v>
      </c>
      <c r="E23" s="69">
        <f t="shared" si="0"/>
        <v>-7.0789109367789593E-2</v>
      </c>
      <c r="F23" s="95">
        <f t="shared" si="1"/>
        <v>-1534</v>
      </c>
      <c r="G23" s="18">
        <f>SUM(G4:G22)</f>
        <v>36709</v>
      </c>
      <c r="H23" s="18">
        <f>SUM(H4:H22)</f>
        <v>0</v>
      </c>
      <c r="I23" s="69">
        <f t="shared" si="2"/>
        <v>-1</v>
      </c>
      <c r="J23" s="95">
        <f t="shared" si="3"/>
        <v>-36709</v>
      </c>
      <c r="K23" s="18">
        <f>SUM(K4:K22)</f>
        <v>25748</v>
      </c>
      <c r="L23" s="18">
        <f>SUM(L4:L22)</f>
        <v>0</v>
      </c>
      <c r="M23" s="69">
        <f t="shared" si="4"/>
        <v>-1</v>
      </c>
      <c r="N23" s="95">
        <f t="shared" si="5"/>
        <v>-25748</v>
      </c>
      <c r="O23" s="18">
        <v>27839</v>
      </c>
      <c r="P23" s="18">
        <f>SUM(P4:P22)</f>
        <v>0</v>
      </c>
      <c r="Q23" s="69">
        <f t="shared" si="6"/>
        <v>-1</v>
      </c>
      <c r="R23" s="95">
        <f t="shared" si="7"/>
        <v>-27839</v>
      </c>
      <c r="S23" s="18">
        <f>SUM(S4:S22)</f>
        <v>21670</v>
      </c>
      <c r="T23" s="18">
        <f>SUM(T4:T22)</f>
        <v>20136</v>
      </c>
      <c r="U23" s="69">
        <f t="shared" si="8"/>
        <v>-7.0789109367789593E-2</v>
      </c>
      <c r="V23" s="95">
        <f t="shared" si="9"/>
        <v>-1534</v>
      </c>
      <c r="W23" s="387"/>
      <c r="X23" s="337"/>
    </row>
    <row r="24" spans="1:27" ht="20.25" customHeight="1">
      <c r="A24" s="322" t="s">
        <v>18</v>
      </c>
      <c r="C24" s="15"/>
      <c r="D24" s="43"/>
      <c r="E24" s="55"/>
      <c r="F24" s="56"/>
      <c r="G24" s="43">
        <v>0</v>
      </c>
      <c r="H24" s="43"/>
      <c r="I24" s="55"/>
      <c r="J24" s="56"/>
      <c r="K24" s="43">
        <v>0</v>
      </c>
      <c r="L24" s="43"/>
      <c r="M24" s="55"/>
      <c r="N24" s="56"/>
      <c r="P24" s="43"/>
      <c r="Q24" s="55"/>
      <c r="R24" s="56"/>
      <c r="S24" s="43"/>
      <c r="T24" s="23"/>
      <c r="U24" s="55"/>
      <c r="V24" s="56"/>
      <c r="W24" s="387"/>
      <c r="X24" s="337"/>
    </row>
    <row r="25" spans="1:27" ht="15.75" customHeight="1" outlineLevel="1">
      <c r="A25" s="322"/>
      <c r="B25" s="324" t="s">
        <v>438</v>
      </c>
      <c r="C25" s="15"/>
      <c r="D25" s="93"/>
      <c r="E25" s="55" t="str">
        <f t="shared" ref="E25:E36" si="12">IFERROR(D25/C25-1,"")</f>
        <v/>
      </c>
      <c r="F25" s="56">
        <f t="shared" ref="F25:F36" si="13">D25-C25</f>
        <v>0</v>
      </c>
      <c r="G25" s="93">
        <v>0</v>
      </c>
      <c r="H25" s="93"/>
      <c r="I25" s="55" t="str">
        <f t="shared" ref="I25:I36" si="14">IFERROR(H25/G25-1,"")</f>
        <v/>
      </c>
      <c r="J25" s="56">
        <f t="shared" ref="J25:J36" si="15">H25-G25</f>
        <v>0</v>
      </c>
      <c r="K25" s="93">
        <v>0</v>
      </c>
      <c r="L25" s="93"/>
      <c r="M25" s="55" t="str">
        <f t="shared" ref="M25:M36" si="16">IFERROR(L25/K25-1,"")</f>
        <v/>
      </c>
      <c r="N25" s="56">
        <f t="shared" ref="N25:N36" si="17">L25-K25</f>
        <v>0</v>
      </c>
      <c r="O25" s="93">
        <v>0</v>
      </c>
      <c r="P25" s="93"/>
      <c r="Q25" s="55" t="str">
        <f t="shared" ref="Q25:Q36" si="18">IFERROR(P25/O25-1,"")</f>
        <v/>
      </c>
      <c r="R25" s="56">
        <f t="shared" ref="R25:R36" si="19">P25-O25</f>
        <v>0</v>
      </c>
      <c r="S25" s="93">
        <f>C25</f>
        <v>0</v>
      </c>
      <c r="T25" s="15"/>
      <c r="U25" s="55" t="str">
        <f t="shared" ref="U25:U36" si="20">IFERROR(T25/S25-1,"")</f>
        <v/>
      </c>
      <c r="V25" s="56">
        <f t="shared" ref="V25:V36" si="21">T25-S25</f>
        <v>0</v>
      </c>
      <c r="W25" s="387"/>
      <c r="X25" s="337"/>
      <c r="AA25" s="391" t="s">
        <v>534</v>
      </c>
    </row>
    <row r="26" spans="1:27" ht="15.75" customHeight="1" outlineLevel="1">
      <c r="A26" s="323"/>
      <c r="B26" s="324" t="s">
        <v>439</v>
      </c>
      <c r="C26" s="93">
        <v>13298</v>
      </c>
      <c r="D26" s="93">
        <f>T26</f>
        <v>24943</v>
      </c>
      <c r="E26" s="55">
        <f t="shared" si="12"/>
        <v>0.87569559332230407</v>
      </c>
      <c r="F26" s="94">
        <f t="shared" si="13"/>
        <v>11645</v>
      </c>
      <c r="G26" s="93">
        <v>-18339</v>
      </c>
      <c r="H26" s="93"/>
      <c r="I26" s="55">
        <f t="shared" si="14"/>
        <v>-1</v>
      </c>
      <c r="J26" s="94">
        <f t="shared" si="15"/>
        <v>18339</v>
      </c>
      <c r="K26" s="93">
        <v>3441</v>
      </c>
      <c r="L26" s="93"/>
      <c r="M26" s="55">
        <f t="shared" si="16"/>
        <v>-1</v>
      </c>
      <c r="N26" s="94">
        <f t="shared" si="17"/>
        <v>-3441</v>
      </c>
      <c r="O26" s="93">
        <v>-27706</v>
      </c>
      <c r="P26" s="93"/>
      <c r="Q26" s="55">
        <f t="shared" si="18"/>
        <v>-1</v>
      </c>
      <c r="R26" s="94">
        <f t="shared" si="19"/>
        <v>27706</v>
      </c>
      <c r="S26" s="93">
        <f t="shared" ref="S26:S34" si="22">C26</f>
        <v>13298</v>
      </c>
      <c r="T26" s="98">
        <f>VLOOKUP("Redução de contas a receber",[1]DFC1!$A:$H,7,0)</f>
        <v>24943</v>
      </c>
      <c r="U26" s="55">
        <f t="shared" si="20"/>
        <v>0.87569559332230407</v>
      </c>
      <c r="V26" s="94">
        <f t="shared" si="21"/>
        <v>11645</v>
      </c>
      <c r="W26" s="387"/>
      <c r="X26" s="337"/>
      <c r="Y26"/>
      <c r="Z26" s="337"/>
      <c r="AA26" s="391" t="s">
        <v>349</v>
      </c>
    </row>
    <row r="27" spans="1:27" ht="15.75" customHeight="1" outlineLevel="1">
      <c r="A27" s="323"/>
      <c r="B27" s="324" t="s">
        <v>19</v>
      </c>
      <c r="C27" s="93">
        <v>-19266</v>
      </c>
      <c r="D27" s="93">
        <f t="shared" ref="D27:D35" si="23">T27</f>
        <v>-28499</v>
      </c>
      <c r="E27" s="55">
        <f t="shared" si="12"/>
        <v>0.4792380359181978</v>
      </c>
      <c r="F27" s="94">
        <f t="shared" si="13"/>
        <v>-9233</v>
      </c>
      <c r="G27" s="93">
        <v>-4047</v>
      </c>
      <c r="H27" s="93"/>
      <c r="I27" s="55">
        <f t="shared" si="14"/>
        <v>-1</v>
      </c>
      <c r="J27" s="94">
        <f t="shared" si="15"/>
        <v>4047</v>
      </c>
      <c r="K27" s="93">
        <v>-18594</v>
      </c>
      <c r="L27" s="93"/>
      <c r="M27" s="55">
        <f t="shared" si="16"/>
        <v>-1</v>
      </c>
      <c r="N27" s="94">
        <f t="shared" si="17"/>
        <v>18594</v>
      </c>
      <c r="O27" s="93">
        <v>28904</v>
      </c>
      <c r="P27" s="93"/>
      <c r="Q27" s="55">
        <f t="shared" si="18"/>
        <v>-1</v>
      </c>
      <c r="R27" s="94">
        <f t="shared" si="19"/>
        <v>-28904</v>
      </c>
      <c r="S27" s="93">
        <f t="shared" si="22"/>
        <v>-19266</v>
      </c>
      <c r="T27" s="98">
        <f>VLOOKUP(B27,[1]DFC1!$A:$H,7,0)</f>
        <v>-28499</v>
      </c>
      <c r="U27" s="55">
        <f t="shared" si="20"/>
        <v>0.4792380359181978</v>
      </c>
      <c r="V27" s="94">
        <f t="shared" si="21"/>
        <v>-9233</v>
      </c>
      <c r="W27" s="387"/>
      <c r="X27" s="337"/>
      <c r="Y27"/>
      <c r="AA27" s="391" t="s">
        <v>19</v>
      </c>
    </row>
    <row r="28" spans="1:27" ht="15.75" customHeight="1" outlineLevel="1">
      <c r="A28" s="323"/>
      <c r="B28" s="324" t="s">
        <v>20</v>
      </c>
      <c r="C28" s="93">
        <v>7837</v>
      </c>
      <c r="D28" s="93">
        <f t="shared" si="23"/>
        <v>-1532</v>
      </c>
      <c r="E28" s="55">
        <f t="shared" si="12"/>
        <v>-1.1954829654204415</v>
      </c>
      <c r="F28" s="94">
        <f t="shared" si="13"/>
        <v>-9369</v>
      </c>
      <c r="G28" s="98">
        <v>5490</v>
      </c>
      <c r="H28" s="93"/>
      <c r="I28" s="55">
        <f t="shared" si="14"/>
        <v>-1</v>
      </c>
      <c r="J28" s="94">
        <f t="shared" si="15"/>
        <v>-5490</v>
      </c>
      <c r="K28" s="98">
        <v>-10066</v>
      </c>
      <c r="L28" s="93"/>
      <c r="M28" s="55">
        <f t="shared" si="16"/>
        <v>-1</v>
      </c>
      <c r="N28" s="94">
        <f t="shared" si="17"/>
        <v>10066</v>
      </c>
      <c r="O28" s="93">
        <v>1509</v>
      </c>
      <c r="P28" s="93"/>
      <c r="Q28" s="55">
        <f t="shared" si="18"/>
        <v>-1</v>
      </c>
      <c r="R28" s="94">
        <f t="shared" si="19"/>
        <v>-1509</v>
      </c>
      <c r="S28" s="93">
        <f t="shared" si="22"/>
        <v>7837</v>
      </c>
      <c r="T28" s="98">
        <f>VLOOKUP(B28,[1]DFC1!$A:$H,7,0)+1</f>
        <v>-1532</v>
      </c>
      <c r="U28" s="55">
        <f t="shared" si="20"/>
        <v>-1.1954829654204415</v>
      </c>
      <c r="V28" s="94">
        <f t="shared" si="21"/>
        <v>-9369</v>
      </c>
      <c r="W28" s="387"/>
      <c r="X28" s="337"/>
      <c r="Y28"/>
      <c r="AA28" s="391" t="s">
        <v>20</v>
      </c>
    </row>
    <row r="29" spans="1:27" ht="15.75" customHeight="1" outlineLevel="1">
      <c r="A29" s="323"/>
      <c r="B29" s="324" t="s">
        <v>53</v>
      </c>
      <c r="C29" s="93">
        <v>-400</v>
      </c>
      <c r="D29" s="93">
        <f t="shared" si="23"/>
        <v>-98</v>
      </c>
      <c r="E29" s="55">
        <f t="shared" si="12"/>
        <v>-0.755</v>
      </c>
      <c r="F29" s="94">
        <f t="shared" si="13"/>
        <v>302</v>
      </c>
      <c r="G29" s="93">
        <v>-1864</v>
      </c>
      <c r="H29" s="93"/>
      <c r="I29" s="55">
        <f t="shared" si="14"/>
        <v>-1</v>
      </c>
      <c r="J29" s="94">
        <f t="shared" si="15"/>
        <v>1864</v>
      </c>
      <c r="K29" s="93">
        <v>-2124</v>
      </c>
      <c r="L29" s="93"/>
      <c r="M29" s="55">
        <f t="shared" si="16"/>
        <v>-1</v>
      </c>
      <c r="N29" s="94">
        <f t="shared" si="17"/>
        <v>2124</v>
      </c>
      <c r="O29" s="93">
        <v>1282</v>
      </c>
      <c r="P29" s="93"/>
      <c r="Q29" s="55">
        <f t="shared" si="18"/>
        <v>-1</v>
      </c>
      <c r="R29" s="94">
        <f t="shared" si="19"/>
        <v>-1282</v>
      </c>
      <c r="S29" s="93">
        <f t="shared" si="22"/>
        <v>-400</v>
      </c>
      <c r="T29" s="98">
        <f>VLOOKUP(B29,[1]DFC1!$A:$H,7,0)</f>
        <v>-98</v>
      </c>
      <c r="U29" s="55">
        <f t="shared" si="20"/>
        <v>-0.755</v>
      </c>
      <c r="V29" s="94">
        <f t="shared" si="21"/>
        <v>302</v>
      </c>
      <c r="W29" s="387"/>
      <c r="X29" s="337"/>
      <c r="Y29"/>
      <c r="AA29" s="391" t="s">
        <v>53</v>
      </c>
    </row>
    <row r="30" spans="1:27" ht="15.75" customHeight="1" outlineLevel="1">
      <c r="A30" s="323"/>
      <c r="B30" s="324" t="s">
        <v>21</v>
      </c>
      <c r="C30" s="93">
        <v>-11995</v>
      </c>
      <c r="D30" s="93">
        <f t="shared" si="23"/>
        <v>3682</v>
      </c>
      <c r="E30" s="55">
        <f t="shared" si="12"/>
        <v>-1.3069612338474363</v>
      </c>
      <c r="F30" s="94">
        <f t="shared" si="13"/>
        <v>15677</v>
      </c>
      <c r="G30" s="93">
        <v>-7356</v>
      </c>
      <c r="H30" s="93"/>
      <c r="I30" s="55">
        <f t="shared" si="14"/>
        <v>-1</v>
      </c>
      <c r="J30" s="94">
        <f t="shared" si="15"/>
        <v>7356</v>
      </c>
      <c r="K30" s="93">
        <v>3906</v>
      </c>
      <c r="L30" s="93"/>
      <c r="M30" s="55">
        <f t="shared" si="16"/>
        <v>-1</v>
      </c>
      <c r="N30" s="94">
        <f t="shared" si="17"/>
        <v>-3906</v>
      </c>
      <c r="O30" s="93">
        <v>-1784</v>
      </c>
      <c r="P30" s="93"/>
      <c r="Q30" s="55">
        <f t="shared" si="18"/>
        <v>-1</v>
      </c>
      <c r="R30" s="94">
        <f t="shared" si="19"/>
        <v>1784</v>
      </c>
      <c r="S30" s="93">
        <f t="shared" si="22"/>
        <v>-11995</v>
      </c>
      <c r="T30" s="98">
        <f>VLOOKUP(B30,[1]DFC1!$A:$H,7,0)</f>
        <v>3682</v>
      </c>
      <c r="U30" s="55">
        <f t="shared" si="20"/>
        <v>-1.3069612338474363</v>
      </c>
      <c r="V30" s="94">
        <f t="shared" si="21"/>
        <v>15677</v>
      </c>
      <c r="W30" s="387"/>
      <c r="X30" s="337"/>
      <c r="Y30" s="389"/>
      <c r="AA30" s="391" t="s">
        <v>21</v>
      </c>
    </row>
    <row r="31" spans="1:27" ht="15.75" customHeight="1" outlineLevel="1">
      <c r="A31" s="323"/>
      <c r="B31" s="324" t="s">
        <v>440</v>
      </c>
      <c r="C31" s="93">
        <v>-4482</v>
      </c>
      <c r="D31" s="93">
        <f t="shared" si="23"/>
        <v>-4915</v>
      </c>
      <c r="E31" s="55">
        <f t="shared" si="12"/>
        <v>9.6608656849620722E-2</v>
      </c>
      <c r="F31" s="94">
        <f t="shared" si="13"/>
        <v>-433</v>
      </c>
      <c r="G31" s="93">
        <v>4178</v>
      </c>
      <c r="H31" s="93"/>
      <c r="I31" s="55">
        <f t="shared" si="14"/>
        <v>-1</v>
      </c>
      <c r="J31" s="94">
        <f t="shared" si="15"/>
        <v>-4178</v>
      </c>
      <c r="K31" s="93">
        <v>4078</v>
      </c>
      <c r="L31" s="93"/>
      <c r="M31" s="55">
        <f t="shared" si="16"/>
        <v>-1</v>
      </c>
      <c r="N31" s="94">
        <f t="shared" si="17"/>
        <v>-4078</v>
      </c>
      <c r="O31" s="93">
        <v>-1326</v>
      </c>
      <c r="P31" s="93"/>
      <c r="Q31" s="55">
        <f t="shared" si="18"/>
        <v>-1</v>
      </c>
      <c r="R31" s="94">
        <f t="shared" si="19"/>
        <v>1326</v>
      </c>
      <c r="S31" s="93">
        <f t="shared" si="22"/>
        <v>-4482</v>
      </c>
      <c r="T31" s="98">
        <f>VLOOKUP("Aumento (redução) em salários e encargos sociais pagar",[1]DFC1!$A:$H,7,0)</f>
        <v>-4915</v>
      </c>
      <c r="U31" s="55">
        <f t="shared" si="20"/>
        <v>9.6608656849620722E-2</v>
      </c>
      <c r="V31" s="94">
        <f t="shared" si="21"/>
        <v>-433</v>
      </c>
      <c r="W31" s="387"/>
      <c r="X31" s="337"/>
      <c r="Y31" s="305"/>
      <c r="AA31" s="391" t="s">
        <v>355</v>
      </c>
    </row>
    <row r="32" spans="1:27" ht="15.75" customHeight="1" outlineLevel="1">
      <c r="A32" s="323"/>
      <c r="B32" s="324" t="s">
        <v>539</v>
      </c>
      <c r="C32" s="93">
        <v>-6250</v>
      </c>
      <c r="D32" s="93">
        <f t="shared" si="23"/>
        <v>3772</v>
      </c>
      <c r="E32" s="55">
        <f t="shared" si="12"/>
        <v>-1.6035200000000001</v>
      </c>
      <c r="F32" s="94">
        <f t="shared" si="13"/>
        <v>10022</v>
      </c>
      <c r="G32" s="93">
        <v>-7341</v>
      </c>
      <c r="H32" s="93"/>
      <c r="I32" s="55">
        <f t="shared" si="14"/>
        <v>-1</v>
      </c>
      <c r="J32" s="94">
        <f t="shared" si="15"/>
        <v>7341</v>
      </c>
      <c r="K32" s="93">
        <v>11360</v>
      </c>
      <c r="L32" s="93"/>
      <c r="M32" s="55">
        <f t="shared" si="16"/>
        <v>-1</v>
      </c>
      <c r="N32" s="94">
        <f t="shared" si="17"/>
        <v>-11360</v>
      </c>
      <c r="O32" s="93">
        <v>1500</v>
      </c>
      <c r="P32" s="93"/>
      <c r="Q32" s="55">
        <f t="shared" si="18"/>
        <v>-1</v>
      </c>
      <c r="R32" s="94">
        <f t="shared" si="19"/>
        <v>-1500</v>
      </c>
      <c r="S32" s="93">
        <f t="shared" si="22"/>
        <v>-6250</v>
      </c>
      <c r="T32" s="98">
        <f>VLOOKUP(B32,[1]DFC1!$A:$H,7,0)</f>
        <v>3772</v>
      </c>
      <c r="U32" s="55">
        <f t="shared" si="20"/>
        <v>-1.6035200000000001</v>
      </c>
      <c r="V32" s="94">
        <f t="shared" si="21"/>
        <v>10022</v>
      </c>
      <c r="W32" s="387"/>
      <c r="X32" s="337"/>
      <c r="Y32"/>
      <c r="AA32" s="391" t="s">
        <v>22</v>
      </c>
    </row>
    <row r="33" spans="1:27" ht="15.75" customHeight="1" outlineLevel="1">
      <c r="A33" s="323"/>
      <c r="B33" s="324" t="s">
        <v>23</v>
      </c>
      <c r="C33" s="93">
        <v>-2953</v>
      </c>
      <c r="D33" s="93">
        <f t="shared" si="23"/>
        <v>-604</v>
      </c>
      <c r="E33" s="55">
        <f t="shared" si="12"/>
        <v>-0.79546224178801217</v>
      </c>
      <c r="F33" s="94">
        <f t="shared" si="13"/>
        <v>2349</v>
      </c>
      <c r="G33" s="93">
        <v>-2789</v>
      </c>
      <c r="H33" s="93"/>
      <c r="I33" s="55">
        <f t="shared" si="14"/>
        <v>-1</v>
      </c>
      <c r="J33" s="94">
        <f t="shared" si="15"/>
        <v>2789</v>
      </c>
      <c r="K33" s="93">
        <v>-3048</v>
      </c>
      <c r="L33" s="93"/>
      <c r="M33" s="55">
        <f t="shared" si="16"/>
        <v>-1</v>
      </c>
      <c r="N33" s="94">
        <f t="shared" si="17"/>
        <v>3048</v>
      </c>
      <c r="O33" s="93">
        <v>-2116</v>
      </c>
      <c r="P33" s="93"/>
      <c r="Q33" s="55">
        <f t="shared" si="18"/>
        <v>-1</v>
      </c>
      <c r="R33" s="94">
        <f t="shared" si="19"/>
        <v>2116</v>
      </c>
      <c r="S33" s="93">
        <f t="shared" si="22"/>
        <v>-2953</v>
      </c>
      <c r="T33" s="98">
        <f>VLOOKUP(B33,[1]DFC1!$A:$H,7,0)</f>
        <v>-604</v>
      </c>
      <c r="U33" s="55">
        <f t="shared" si="20"/>
        <v>-0.79546224178801217</v>
      </c>
      <c r="V33" s="94">
        <f t="shared" si="21"/>
        <v>2349</v>
      </c>
      <c r="W33" s="387"/>
      <c r="X33" s="337"/>
      <c r="Y33"/>
      <c r="AA33" s="391" t="s">
        <v>23</v>
      </c>
    </row>
    <row r="34" spans="1:27" ht="15.75" customHeight="1" outlineLevel="1">
      <c r="A34" s="323"/>
      <c r="B34" s="324" t="s">
        <v>24</v>
      </c>
      <c r="C34" s="93">
        <v>-2818</v>
      </c>
      <c r="D34" s="93">
        <f t="shared" si="23"/>
        <v>-72</v>
      </c>
      <c r="E34" s="55">
        <f t="shared" si="12"/>
        <v>-0.97444996451383958</v>
      </c>
      <c r="F34" s="94">
        <f t="shared" si="13"/>
        <v>2746</v>
      </c>
      <c r="G34" s="93">
        <v>-6908</v>
      </c>
      <c r="H34" s="93"/>
      <c r="I34" s="55">
        <f t="shared" si="14"/>
        <v>-1</v>
      </c>
      <c r="J34" s="94">
        <f t="shared" si="15"/>
        <v>6908</v>
      </c>
      <c r="K34" s="93">
        <v>-1849</v>
      </c>
      <c r="L34" s="93"/>
      <c r="M34" s="55">
        <f t="shared" si="16"/>
        <v>-1</v>
      </c>
      <c r="N34" s="94">
        <f t="shared" si="17"/>
        <v>1849</v>
      </c>
      <c r="O34" s="93">
        <v>-5313</v>
      </c>
      <c r="P34" s="93"/>
      <c r="Q34" s="55">
        <f t="shared" si="18"/>
        <v>-1</v>
      </c>
      <c r="R34" s="94">
        <f t="shared" si="19"/>
        <v>5313</v>
      </c>
      <c r="S34" s="93">
        <f t="shared" si="22"/>
        <v>-2818</v>
      </c>
      <c r="T34" s="93">
        <f>VLOOKUP(B34,[1]DFC1!$A:$H,7,0)</f>
        <v>-72</v>
      </c>
      <c r="U34" s="55">
        <f t="shared" si="20"/>
        <v>-0.97444996451383958</v>
      </c>
      <c r="V34" s="94">
        <f t="shared" si="21"/>
        <v>2746</v>
      </c>
      <c r="W34" s="387"/>
      <c r="X34" s="337"/>
      <c r="Y34"/>
      <c r="AA34" s="391" t="s">
        <v>24</v>
      </c>
    </row>
    <row r="35" spans="1:27" ht="15.75" customHeight="1">
      <c r="A35" s="325"/>
      <c r="B35" s="326" t="s">
        <v>17</v>
      </c>
      <c r="C35" s="14">
        <v>0</v>
      </c>
      <c r="D35" s="93">
        <f t="shared" si="23"/>
        <v>0</v>
      </c>
      <c r="E35" s="67" t="str">
        <f t="shared" si="12"/>
        <v/>
      </c>
      <c r="F35" s="68">
        <f t="shared" si="13"/>
        <v>0</v>
      </c>
      <c r="G35" s="93">
        <v>0</v>
      </c>
      <c r="H35" s="93"/>
      <c r="I35" s="67" t="str">
        <f t="shared" si="14"/>
        <v/>
      </c>
      <c r="J35" s="68">
        <f t="shared" si="15"/>
        <v>0</v>
      </c>
      <c r="K35" s="93">
        <v>0</v>
      </c>
      <c r="L35" s="93"/>
      <c r="M35" s="67" t="str">
        <f t="shared" si="16"/>
        <v/>
      </c>
      <c r="N35" s="68">
        <f t="shared" si="17"/>
        <v>0</v>
      </c>
      <c r="O35" s="93">
        <v>0</v>
      </c>
      <c r="P35" s="93"/>
      <c r="Q35" s="67" t="str">
        <f t="shared" si="18"/>
        <v/>
      </c>
      <c r="R35" s="68">
        <f t="shared" si="19"/>
        <v>0</v>
      </c>
      <c r="S35" s="93">
        <f>C35</f>
        <v>0</v>
      </c>
      <c r="T35" s="93">
        <v>0</v>
      </c>
      <c r="U35" s="67" t="str">
        <f t="shared" si="20"/>
        <v/>
      </c>
      <c r="V35" s="68">
        <f t="shared" si="21"/>
        <v>0</v>
      </c>
      <c r="W35" s="387"/>
      <c r="X35" s="337"/>
      <c r="Y35"/>
      <c r="AA35" s="391" t="s">
        <v>534</v>
      </c>
    </row>
    <row r="36" spans="1:27" ht="15.75" customHeight="1" outlineLevel="1">
      <c r="A36" s="329" t="s">
        <v>441</v>
      </c>
      <c r="B36" s="330"/>
      <c r="C36" s="17">
        <f>SUM(C26:C35,C23)</f>
        <v>-5359</v>
      </c>
      <c r="D36" s="17">
        <f>SUM(D26:D35,D23)</f>
        <v>16813</v>
      </c>
      <c r="E36" s="69">
        <f t="shared" si="12"/>
        <v>-4.1373390557939915</v>
      </c>
      <c r="F36" s="95">
        <f t="shared" si="13"/>
        <v>22172</v>
      </c>
      <c r="G36" s="17">
        <f>SUM(G26:G35,G23)</f>
        <v>-2267</v>
      </c>
      <c r="H36" s="17">
        <f>SUM(H26:H35,H23)</f>
        <v>0</v>
      </c>
      <c r="I36" s="69">
        <f t="shared" si="14"/>
        <v>-1</v>
      </c>
      <c r="J36" s="95">
        <f t="shared" si="15"/>
        <v>2267</v>
      </c>
      <c r="K36" s="17">
        <f>SUM(K26:K35,K23)</f>
        <v>12852</v>
      </c>
      <c r="L36" s="17">
        <f>SUM(L26:L35,L23)</f>
        <v>0</v>
      </c>
      <c r="M36" s="69">
        <f t="shared" si="16"/>
        <v>-1</v>
      </c>
      <c r="N36" s="95">
        <f t="shared" si="17"/>
        <v>-12852</v>
      </c>
      <c r="O36" s="17">
        <v>22789</v>
      </c>
      <c r="P36" s="17">
        <f>SUM(P26:P35,P23)</f>
        <v>0</v>
      </c>
      <c r="Q36" s="69">
        <f t="shared" si="18"/>
        <v>-1</v>
      </c>
      <c r="R36" s="95">
        <f t="shared" si="19"/>
        <v>-22789</v>
      </c>
      <c r="S36" s="17">
        <f>SUM(S23:S35)</f>
        <v>-5359</v>
      </c>
      <c r="T36" s="17">
        <f>SUM(T23:T35)</f>
        <v>16813</v>
      </c>
      <c r="U36" s="69">
        <f t="shared" si="20"/>
        <v>-4.1373390557939915</v>
      </c>
      <c r="V36" s="95">
        <f t="shared" si="21"/>
        <v>22172</v>
      </c>
      <c r="W36" s="387"/>
      <c r="X36" s="337"/>
      <c r="Y36"/>
    </row>
    <row r="37" spans="1:27" ht="15.75" customHeight="1" outlineLevel="1">
      <c r="A37" s="323" t="s">
        <v>25</v>
      </c>
      <c r="B37" s="324"/>
      <c r="C37" s="13"/>
      <c r="D37" s="23"/>
      <c r="E37" s="55"/>
      <c r="F37" s="56"/>
      <c r="G37" s="23">
        <v>0</v>
      </c>
      <c r="H37" s="23"/>
      <c r="I37" s="55"/>
      <c r="J37" s="56"/>
      <c r="K37" s="23">
        <v>0</v>
      </c>
      <c r="L37" s="23"/>
      <c r="M37" s="55"/>
      <c r="N37" s="56"/>
      <c r="O37" s="23"/>
      <c r="P37" s="23"/>
      <c r="Q37" s="55"/>
      <c r="R37" s="56"/>
      <c r="S37" s="23"/>
      <c r="T37" s="23"/>
      <c r="U37" s="55"/>
      <c r="V37" s="56"/>
      <c r="W37" s="387"/>
      <c r="X37" s="337"/>
      <c r="Y37"/>
    </row>
    <row r="38" spans="1:27" ht="15.75" customHeight="1" outlineLevel="1">
      <c r="A38" s="323"/>
      <c r="B38" s="324" t="s">
        <v>405</v>
      </c>
      <c r="C38" s="98">
        <v>0</v>
      </c>
      <c r="D38" s="93">
        <f>T38</f>
        <v>0</v>
      </c>
      <c r="E38" s="55" t="str">
        <f t="shared" ref="E38:E47" si="24">IFERROR(D38/C38-1,"")</f>
        <v/>
      </c>
      <c r="F38" s="94">
        <f t="shared" ref="F38:F47" si="25">D38-C38</f>
        <v>0</v>
      </c>
      <c r="G38" s="93">
        <v>0</v>
      </c>
      <c r="H38" s="93"/>
      <c r="I38" s="55" t="str">
        <f t="shared" ref="I38:I47" si="26">IFERROR(H38/G38-1,"")</f>
        <v/>
      </c>
      <c r="J38" s="94">
        <f t="shared" ref="J38:J47" si="27">H38-G38</f>
        <v>0</v>
      </c>
      <c r="K38" s="93">
        <v>0</v>
      </c>
      <c r="L38" s="93"/>
      <c r="M38" s="55" t="str">
        <f t="shared" ref="M38:M47" si="28">IFERROR(L38/K38-1,"")</f>
        <v/>
      </c>
      <c r="N38" s="94">
        <f t="shared" ref="N38:N47" si="29">L38-K38</f>
        <v>0</v>
      </c>
      <c r="O38" s="93">
        <v>0</v>
      </c>
      <c r="P38" s="93"/>
      <c r="Q38" s="55" t="str">
        <f t="shared" ref="Q38:Q47" si="30">IFERROR(P38/O38-1,"")</f>
        <v/>
      </c>
      <c r="R38" s="94">
        <f t="shared" ref="R38:R47" si="31">P38-O38</f>
        <v>0</v>
      </c>
      <c r="S38" s="93">
        <f>C38</f>
        <v>0</v>
      </c>
      <c r="T38" s="93">
        <v>0</v>
      </c>
      <c r="U38" s="55" t="str">
        <f t="shared" ref="U38:U47" si="32">IFERROR(T38/S38-1,"")</f>
        <v/>
      </c>
      <c r="V38" s="94">
        <f t="shared" ref="V38:V47" si="33">T38-S38</f>
        <v>0</v>
      </c>
      <c r="W38" s="387"/>
      <c r="X38" s="337"/>
      <c r="Y38"/>
      <c r="AA38" s="391" t="s">
        <v>534</v>
      </c>
    </row>
    <row r="39" spans="1:27" ht="15.75" customHeight="1" outlineLevel="1">
      <c r="A39" s="323"/>
      <c r="B39" s="324" t="s">
        <v>442</v>
      </c>
      <c r="C39" s="93">
        <v>0</v>
      </c>
      <c r="D39" s="93">
        <f t="shared" ref="D39:D45" si="34">T39</f>
        <v>0</v>
      </c>
      <c r="E39" s="55" t="str">
        <f t="shared" si="24"/>
        <v/>
      </c>
      <c r="F39" s="94">
        <f t="shared" si="25"/>
        <v>0</v>
      </c>
      <c r="G39" s="93">
        <v>0</v>
      </c>
      <c r="H39" s="93"/>
      <c r="I39" s="55" t="str">
        <f t="shared" si="26"/>
        <v/>
      </c>
      <c r="J39" s="94">
        <f t="shared" si="27"/>
        <v>0</v>
      </c>
      <c r="K39" s="93">
        <v>0</v>
      </c>
      <c r="L39" s="93"/>
      <c r="M39" s="55" t="str">
        <f t="shared" si="28"/>
        <v/>
      </c>
      <c r="N39" s="94">
        <f t="shared" si="29"/>
        <v>0</v>
      </c>
      <c r="O39" s="93">
        <v>0</v>
      </c>
      <c r="P39" s="93"/>
      <c r="Q39" s="55" t="str">
        <f t="shared" si="30"/>
        <v/>
      </c>
      <c r="R39" s="94">
        <f t="shared" si="31"/>
        <v>0</v>
      </c>
      <c r="S39" s="93">
        <f t="shared" ref="S39:S46" si="35">C39</f>
        <v>0</v>
      </c>
      <c r="T39" s="93">
        <v>0</v>
      </c>
      <c r="U39" s="55" t="str">
        <f t="shared" si="32"/>
        <v/>
      </c>
      <c r="V39" s="94">
        <f t="shared" si="33"/>
        <v>0</v>
      </c>
      <c r="W39" s="387"/>
      <c r="X39" s="337"/>
      <c r="Y39"/>
      <c r="AA39" s="391" t="s">
        <v>531</v>
      </c>
    </row>
    <row r="40" spans="1:27" ht="15.75" customHeight="1" outlineLevel="1">
      <c r="A40" s="323"/>
      <c r="B40" s="324" t="s">
        <v>443</v>
      </c>
      <c r="C40" s="93">
        <v>0</v>
      </c>
      <c r="D40" s="93">
        <f t="shared" si="34"/>
        <v>0</v>
      </c>
      <c r="E40" s="55" t="str">
        <f t="shared" si="24"/>
        <v/>
      </c>
      <c r="F40" s="94">
        <f t="shared" si="25"/>
        <v>0</v>
      </c>
      <c r="G40" s="93">
        <v>0</v>
      </c>
      <c r="H40" s="93"/>
      <c r="I40" s="55" t="str">
        <f t="shared" si="26"/>
        <v/>
      </c>
      <c r="J40" s="94">
        <f t="shared" si="27"/>
        <v>0</v>
      </c>
      <c r="K40" s="93">
        <v>0</v>
      </c>
      <c r="L40" s="93"/>
      <c r="M40" s="55" t="str">
        <f t="shared" si="28"/>
        <v/>
      </c>
      <c r="N40" s="94">
        <f t="shared" si="29"/>
        <v>0</v>
      </c>
      <c r="O40" s="93">
        <v>0</v>
      </c>
      <c r="P40" s="93"/>
      <c r="Q40" s="55" t="str">
        <f t="shared" si="30"/>
        <v/>
      </c>
      <c r="R40" s="94">
        <f t="shared" si="31"/>
        <v>0</v>
      </c>
      <c r="S40" s="93">
        <f t="shared" si="35"/>
        <v>0</v>
      </c>
      <c r="T40" s="93"/>
      <c r="U40" s="55" t="str">
        <f t="shared" si="32"/>
        <v/>
      </c>
      <c r="V40" s="94">
        <f t="shared" si="33"/>
        <v>0</v>
      </c>
      <c r="W40" s="387"/>
      <c r="X40" s="337"/>
      <c r="Y40"/>
      <c r="AA40" s="391" t="s">
        <v>534</v>
      </c>
    </row>
    <row r="41" spans="1:27" ht="15.75" customHeight="1" outlineLevel="1">
      <c r="A41" s="323"/>
      <c r="B41" s="324" t="s">
        <v>444</v>
      </c>
      <c r="C41" s="93">
        <v>0</v>
      </c>
      <c r="D41" s="93">
        <f t="shared" si="34"/>
        <v>0</v>
      </c>
      <c r="E41" s="55" t="str">
        <f t="shared" si="24"/>
        <v/>
      </c>
      <c r="F41" s="94">
        <f t="shared" si="25"/>
        <v>0</v>
      </c>
      <c r="G41" s="93">
        <v>0</v>
      </c>
      <c r="H41" s="93"/>
      <c r="I41" s="55" t="str">
        <f t="shared" si="26"/>
        <v/>
      </c>
      <c r="J41" s="94">
        <f t="shared" si="27"/>
        <v>0</v>
      </c>
      <c r="K41" s="93">
        <v>0</v>
      </c>
      <c r="L41" s="93"/>
      <c r="M41" s="55" t="str">
        <f t="shared" si="28"/>
        <v/>
      </c>
      <c r="N41" s="94">
        <f t="shared" si="29"/>
        <v>0</v>
      </c>
      <c r="O41" s="93">
        <v>0</v>
      </c>
      <c r="P41" s="93"/>
      <c r="Q41" s="55" t="str">
        <f t="shared" si="30"/>
        <v/>
      </c>
      <c r="R41" s="94">
        <f t="shared" si="31"/>
        <v>0</v>
      </c>
      <c r="S41" s="93">
        <f t="shared" si="35"/>
        <v>0</v>
      </c>
      <c r="T41" s="93">
        <v>0</v>
      </c>
      <c r="U41" s="55" t="str">
        <f t="shared" si="32"/>
        <v/>
      </c>
      <c r="V41" s="94">
        <f t="shared" si="33"/>
        <v>0</v>
      </c>
      <c r="W41" s="387"/>
      <c r="X41" s="337"/>
      <c r="Y41"/>
      <c r="AA41" s="391" t="s">
        <v>444</v>
      </c>
    </row>
    <row r="42" spans="1:27" ht="15.75" customHeight="1" outlineLevel="1">
      <c r="A42" s="323"/>
      <c r="B42" s="324" t="s">
        <v>409</v>
      </c>
      <c r="C42" s="93">
        <v>0</v>
      </c>
      <c r="D42" s="93">
        <f t="shared" si="34"/>
        <v>0</v>
      </c>
      <c r="E42" s="55" t="str">
        <f t="shared" si="24"/>
        <v/>
      </c>
      <c r="F42" s="94">
        <f t="shared" si="25"/>
        <v>0</v>
      </c>
      <c r="G42" s="93">
        <v>0</v>
      </c>
      <c r="H42" s="93"/>
      <c r="I42" s="55" t="str">
        <f t="shared" si="26"/>
        <v/>
      </c>
      <c r="J42" s="94">
        <f t="shared" si="27"/>
        <v>0</v>
      </c>
      <c r="K42" s="93">
        <v>0</v>
      </c>
      <c r="L42" s="93"/>
      <c r="M42" s="55" t="str">
        <f t="shared" si="28"/>
        <v/>
      </c>
      <c r="N42" s="94">
        <f t="shared" si="29"/>
        <v>0</v>
      </c>
      <c r="O42" s="93">
        <v>0</v>
      </c>
      <c r="P42" s="93"/>
      <c r="Q42" s="55" t="str">
        <f t="shared" si="30"/>
        <v/>
      </c>
      <c r="R42" s="94">
        <f t="shared" si="31"/>
        <v>0</v>
      </c>
      <c r="S42" s="93">
        <f t="shared" si="35"/>
        <v>0</v>
      </c>
      <c r="T42" s="93">
        <f>[1]DFC1!$G$54</f>
        <v>0</v>
      </c>
      <c r="U42" s="55" t="str">
        <f t="shared" si="32"/>
        <v/>
      </c>
      <c r="V42" s="94">
        <f t="shared" si="33"/>
        <v>0</v>
      </c>
      <c r="W42" s="387"/>
      <c r="X42" s="337"/>
      <c r="Y42" s="389"/>
      <c r="AA42" s="391" t="s">
        <v>529</v>
      </c>
    </row>
    <row r="43" spans="1:27" ht="15.75" customHeight="1" outlineLevel="1">
      <c r="A43" s="323"/>
      <c r="B43" s="340" t="s">
        <v>26</v>
      </c>
      <c r="C43" s="93">
        <v>-1806</v>
      </c>
      <c r="D43" s="93">
        <f t="shared" si="34"/>
        <v>-4101</v>
      </c>
      <c r="E43" s="55">
        <f t="shared" si="24"/>
        <v>1.2707641196013291</v>
      </c>
      <c r="F43" s="94">
        <f t="shared" si="25"/>
        <v>-2295</v>
      </c>
      <c r="G43" s="93">
        <v>-2041</v>
      </c>
      <c r="H43" s="93"/>
      <c r="I43" s="55">
        <f t="shared" si="26"/>
        <v>-1</v>
      </c>
      <c r="J43" s="94">
        <f t="shared" si="27"/>
        <v>2041</v>
      </c>
      <c r="K43" s="93">
        <v>-1648</v>
      </c>
      <c r="L43" s="93"/>
      <c r="M43" s="55">
        <f t="shared" si="28"/>
        <v>-1</v>
      </c>
      <c r="N43" s="94">
        <f t="shared" si="29"/>
        <v>1648</v>
      </c>
      <c r="O43" s="93">
        <v>-1384</v>
      </c>
      <c r="P43" s="93"/>
      <c r="Q43" s="55">
        <f t="shared" si="30"/>
        <v>-1</v>
      </c>
      <c r="R43" s="94">
        <f t="shared" si="31"/>
        <v>1384</v>
      </c>
      <c r="S43" s="93">
        <f t="shared" si="35"/>
        <v>-1806</v>
      </c>
      <c r="T43" s="93">
        <f>VLOOKUP(B43,[1]DFC1!$A:$H,7,0)</f>
        <v>-4101</v>
      </c>
      <c r="U43" s="55">
        <f t="shared" si="32"/>
        <v>1.2707641196013291</v>
      </c>
      <c r="V43" s="94">
        <f t="shared" si="33"/>
        <v>-2295</v>
      </c>
      <c r="W43" s="387"/>
      <c r="X43" s="337"/>
      <c r="Y43"/>
      <c r="AA43" s="391" t="s">
        <v>26</v>
      </c>
    </row>
    <row r="44" spans="1:27" ht="15.75" customHeight="1" outlineLevel="1">
      <c r="A44" s="323"/>
      <c r="B44" s="340" t="s">
        <v>445</v>
      </c>
      <c r="C44" s="93">
        <v>293</v>
      </c>
      <c r="D44" s="93">
        <f t="shared" si="34"/>
        <v>587</v>
      </c>
      <c r="E44" s="55">
        <f t="shared" si="24"/>
        <v>1.0034129692832763</v>
      </c>
      <c r="F44" s="94">
        <f t="shared" si="25"/>
        <v>294</v>
      </c>
      <c r="G44" s="93">
        <v>553</v>
      </c>
      <c r="H44" s="93"/>
      <c r="I44" s="55">
        <f t="shared" si="26"/>
        <v>-1</v>
      </c>
      <c r="J44" s="94">
        <f t="shared" si="27"/>
        <v>-553</v>
      </c>
      <c r="K44" s="93">
        <v>342</v>
      </c>
      <c r="L44" s="93"/>
      <c r="M44" s="55">
        <f t="shared" si="28"/>
        <v>-1</v>
      </c>
      <c r="N44" s="94">
        <f t="shared" si="29"/>
        <v>-342</v>
      </c>
      <c r="O44" s="93">
        <v>198</v>
      </c>
      <c r="P44" s="93"/>
      <c r="Q44" s="55">
        <f t="shared" si="30"/>
        <v>-1</v>
      </c>
      <c r="R44" s="94">
        <f t="shared" si="31"/>
        <v>-198</v>
      </c>
      <c r="S44" s="93">
        <f t="shared" si="35"/>
        <v>293</v>
      </c>
      <c r="T44" s="93">
        <f>[1]DFC1!$G$58</f>
        <v>587</v>
      </c>
      <c r="U44" s="55">
        <f t="shared" si="32"/>
        <v>1.0034129692832763</v>
      </c>
      <c r="V44" s="94">
        <f t="shared" si="33"/>
        <v>294</v>
      </c>
      <c r="W44" s="387"/>
      <c r="X44" s="337"/>
      <c r="Y44"/>
      <c r="AA44" s="391" t="s">
        <v>377</v>
      </c>
    </row>
    <row r="45" spans="1:27" ht="15.75" customHeight="1">
      <c r="A45" s="323"/>
      <c r="B45" s="340" t="s">
        <v>446</v>
      </c>
      <c r="C45" s="93">
        <v>-772</v>
      </c>
      <c r="D45" s="93">
        <f t="shared" si="34"/>
        <v>-892</v>
      </c>
      <c r="E45" s="55">
        <f t="shared" si="24"/>
        <v>0.15544041450777213</v>
      </c>
      <c r="F45" s="94">
        <f t="shared" si="25"/>
        <v>-120</v>
      </c>
      <c r="G45" s="93">
        <v>-2255</v>
      </c>
      <c r="H45" s="93"/>
      <c r="I45" s="55">
        <f t="shared" si="26"/>
        <v>-1</v>
      </c>
      <c r="J45" s="94">
        <f t="shared" si="27"/>
        <v>2255</v>
      </c>
      <c r="K45" s="93">
        <v>-1160</v>
      </c>
      <c r="L45" s="93"/>
      <c r="M45" s="55">
        <f t="shared" si="28"/>
        <v>-1</v>
      </c>
      <c r="N45" s="94">
        <f t="shared" si="29"/>
        <v>1160</v>
      </c>
      <c r="O45" s="93">
        <v>-2453</v>
      </c>
      <c r="P45" s="93"/>
      <c r="Q45" s="55">
        <f t="shared" si="30"/>
        <v>-1</v>
      </c>
      <c r="R45" s="94">
        <f t="shared" si="31"/>
        <v>2453</v>
      </c>
      <c r="S45" s="93">
        <f t="shared" si="35"/>
        <v>-772</v>
      </c>
      <c r="T45" s="93">
        <f>[1]DFC1!$G$59</f>
        <v>-892</v>
      </c>
      <c r="U45" s="55">
        <f t="shared" si="32"/>
        <v>0.15544041450777213</v>
      </c>
      <c r="V45" s="94">
        <f t="shared" si="33"/>
        <v>-120</v>
      </c>
      <c r="W45" s="387"/>
      <c r="X45" s="337"/>
      <c r="Y45"/>
      <c r="AA45" s="391" t="s">
        <v>379</v>
      </c>
    </row>
    <row r="46" spans="1:27" ht="15.75" customHeight="1" outlineLevel="1">
      <c r="A46" s="323"/>
      <c r="B46" s="324" t="s">
        <v>447</v>
      </c>
      <c r="C46" s="93"/>
      <c r="D46" s="93">
        <v>0</v>
      </c>
      <c r="E46" s="55" t="str">
        <f t="shared" si="24"/>
        <v/>
      </c>
      <c r="F46" s="94">
        <f t="shared" si="25"/>
        <v>0</v>
      </c>
      <c r="G46" s="93">
        <v>0</v>
      </c>
      <c r="H46" s="93"/>
      <c r="I46" s="55" t="str">
        <f t="shared" si="26"/>
        <v/>
      </c>
      <c r="J46" s="94">
        <f t="shared" si="27"/>
        <v>0</v>
      </c>
      <c r="K46" s="93">
        <v>0</v>
      </c>
      <c r="L46" s="93"/>
      <c r="M46" s="55" t="str">
        <f t="shared" si="28"/>
        <v/>
      </c>
      <c r="N46" s="94">
        <f t="shared" si="29"/>
        <v>0</v>
      </c>
      <c r="O46" s="93">
        <v>0</v>
      </c>
      <c r="P46" s="93"/>
      <c r="Q46" s="55" t="str">
        <f t="shared" si="30"/>
        <v/>
      </c>
      <c r="R46" s="94">
        <f t="shared" si="31"/>
        <v>0</v>
      </c>
      <c r="S46" s="93">
        <f t="shared" si="35"/>
        <v>0</v>
      </c>
      <c r="T46" s="93">
        <v>0</v>
      </c>
      <c r="U46" s="55" t="str">
        <f t="shared" si="32"/>
        <v/>
      </c>
      <c r="V46" s="94">
        <f t="shared" si="33"/>
        <v>0</v>
      </c>
      <c r="W46" s="387"/>
      <c r="X46" s="337"/>
      <c r="Y46"/>
      <c r="AA46" s="391" t="s">
        <v>530</v>
      </c>
    </row>
    <row r="47" spans="1:27" ht="15.75" customHeight="1" outlineLevel="1">
      <c r="A47" s="329" t="s">
        <v>448</v>
      </c>
      <c r="B47" s="330"/>
      <c r="C47" s="17">
        <f>SUM(C38:C45)</f>
        <v>-2285</v>
      </c>
      <c r="D47" s="17">
        <f>SUM(D38:D45)</f>
        <v>-4406</v>
      </c>
      <c r="E47" s="69">
        <f t="shared" si="24"/>
        <v>0.92822757111597376</v>
      </c>
      <c r="F47" s="95">
        <f t="shared" si="25"/>
        <v>-2121</v>
      </c>
      <c r="G47" s="17">
        <f>SUM(G38:G45)</f>
        <v>-3743</v>
      </c>
      <c r="H47" s="17">
        <f>SUM(H38:H45)</f>
        <v>0</v>
      </c>
      <c r="I47" s="69">
        <f t="shared" si="26"/>
        <v>-1</v>
      </c>
      <c r="J47" s="95">
        <f t="shared" si="27"/>
        <v>3743</v>
      </c>
      <c r="K47" s="17">
        <v>-2471</v>
      </c>
      <c r="L47" s="17">
        <f>SUM(L38:L45)</f>
        <v>0</v>
      </c>
      <c r="M47" s="69">
        <f t="shared" si="28"/>
        <v>-1</v>
      </c>
      <c r="N47" s="95">
        <f t="shared" si="29"/>
        <v>2471</v>
      </c>
      <c r="O47" s="17">
        <v>-3639</v>
      </c>
      <c r="P47" s="17">
        <f>SUM(P38:P45)</f>
        <v>0</v>
      </c>
      <c r="Q47" s="69">
        <f t="shared" si="30"/>
        <v>-1</v>
      </c>
      <c r="R47" s="95">
        <f t="shared" si="31"/>
        <v>3639</v>
      </c>
      <c r="S47" s="17">
        <f>SUM(S38:S46)</f>
        <v>-2285</v>
      </c>
      <c r="T47" s="17">
        <f>SUM(T38:T46)</f>
        <v>-4406</v>
      </c>
      <c r="U47" s="69">
        <f t="shared" si="32"/>
        <v>0.92822757111597376</v>
      </c>
      <c r="V47" s="95">
        <f t="shared" si="33"/>
        <v>-2121</v>
      </c>
      <c r="W47" s="387"/>
      <c r="X47" s="337"/>
      <c r="Y47"/>
    </row>
    <row r="48" spans="1:27" ht="15.75" customHeight="1" outlineLevel="1">
      <c r="A48" s="323" t="s">
        <v>27</v>
      </c>
      <c r="B48" s="324"/>
      <c r="C48" s="19"/>
      <c r="D48" s="27"/>
      <c r="E48" s="55"/>
      <c r="F48" s="56"/>
      <c r="G48" s="27">
        <v>0</v>
      </c>
      <c r="H48" s="27"/>
      <c r="I48" s="55"/>
      <c r="J48" s="56"/>
      <c r="K48" s="27">
        <v>0</v>
      </c>
      <c r="L48" s="27"/>
      <c r="M48" s="55"/>
      <c r="N48" s="56"/>
      <c r="O48" s="27"/>
      <c r="P48" s="27"/>
      <c r="Q48" s="55"/>
      <c r="R48" s="56"/>
      <c r="S48" s="93"/>
      <c r="T48" s="93"/>
      <c r="U48" s="55"/>
      <c r="V48" s="56"/>
      <c r="W48" s="387"/>
      <c r="X48" s="337"/>
      <c r="Y48"/>
    </row>
    <row r="49" spans="1:27" s="99" customFormat="1" ht="15.75" customHeight="1" outlineLevel="1">
      <c r="A49" s="339"/>
      <c r="B49" s="340" t="s">
        <v>449</v>
      </c>
      <c r="C49" s="93">
        <v>-4225</v>
      </c>
      <c r="D49" s="93">
        <f>T49</f>
        <v>-7867</v>
      </c>
      <c r="E49" s="55">
        <f t="shared" ref="E49:E61" si="36">IFERROR(D49/C49-1,"")</f>
        <v>0.86201183431952666</v>
      </c>
      <c r="F49" s="94">
        <f t="shared" ref="F49:F61" si="37">D49-C49</f>
        <v>-3642</v>
      </c>
      <c r="G49" s="93">
        <v>-12877</v>
      </c>
      <c r="H49" s="93"/>
      <c r="I49" s="55">
        <f t="shared" ref="I49:I61" si="38">IFERROR(H49/G49-1,"")</f>
        <v>-1</v>
      </c>
      <c r="J49" s="94">
        <f t="shared" ref="J49:J61" si="39">H49-G49</f>
        <v>12877</v>
      </c>
      <c r="K49" s="93">
        <v>-3712</v>
      </c>
      <c r="L49" s="93"/>
      <c r="M49" s="55">
        <f t="shared" ref="M49:M61" si="40">IFERROR(L49/K49-1,"")</f>
        <v>-1</v>
      </c>
      <c r="N49" s="94">
        <f t="shared" ref="N49:N61" si="41">L49-K49</f>
        <v>3712</v>
      </c>
      <c r="O49" s="93">
        <v>-5024</v>
      </c>
      <c r="P49" s="93"/>
      <c r="Q49" s="55">
        <f t="shared" ref="Q49:Q61" si="42">IFERROR(P49/O49-1,"")</f>
        <v>-1</v>
      </c>
      <c r="R49" s="94">
        <f t="shared" ref="R49:R61" si="43">P49-O49</f>
        <v>5024</v>
      </c>
      <c r="S49" s="93">
        <f>C49</f>
        <v>-4225</v>
      </c>
      <c r="T49" s="93">
        <f>[1]DFC1!$G$71</f>
        <v>-7867</v>
      </c>
      <c r="U49" s="55">
        <f t="shared" ref="U49:U61" si="44">IFERROR(T49/S49-1,"")</f>
        <v>0.86201183431952666</v>
      </c>
      <c r="V49" s="94">
        <f t="shared" ref="V49:V61" si="45">T49-S49</f>
        <v>-3642</v>
      </c>
      <c r="W49" s="387"/>
      <c r="X49" s="337"/>
      <c r="Y49"/>
      <c r="AA49" s="393" t="s">
        <v>532</v>
      </c>
    </row>
    <row r="50" spans="1:27" ht="15.75" customHeight="1" outlineLevel="1">
      <c r="A50" s="323"/>
      <c r="B50" s="324" t="s">
        <v>444</v>
      </c>
      <c r="C50" s="93">
        <v>0</v>
      </c>
      <c r="D50" s="93">
        <f t="shared" ref="D50:D59" si="46">T50</f>
        <v>0</v>
      </c>
      <c r="E50" s="55" t="str">
        <f t="shared" si="36"/>
        <v/>
      </c>
      <c r="F50" s="94">
        <f t="shared" si="37"/>
        <v>0</v>
      </c>
      <c r="G50" s="93">
        <v>0</v>
      </c>
      <c r="H50" s="93"/>
      <c r="I50" s="55" t="str">
        <f t="shared" si="38"/>
        <v/>
      </c>
      <c r="J50" s="94">
        <f t="shared" si="39"/>
        <v>0</v>
      </c>
      <c r="K50" s="93">
        <v>0</v>
      </c>
      <c r="L50" s="93"/>
      <c r="M50" s="55" t="str">
        <f t="shared" si="40"/>
        <v/>
      </c>
      <c r="N50" s="94">
        <f t="shared" si="41"/>
        <v>0</v>
      </c>
      <c r="O50" s="93">
        <v>0</v>
      </c>
      <c r="P50" s="93"/>
      <c r="Q50" s="55" t="str">
        <f t="shared" si="42"/>
        <v/>
      </c>
      <c r="R50" s="94">
        <f t="shared" si="43"/>
        <v>0</v>
      </c>
      <c r="S50" s="93">
        <f t="shared" ref="S50:S59" si="47">C50</f>
        <v>0</v>
      </c>
      <c r="T50" s="93">
        <f>[1]DFC1!$G$66</f>
        <v>0</v>
      </c>
      <c r="U50" s="55" t="str">
        <f t="shared" si="44"/>
        <v/>
      </c>
      <c r="V50" s="94">
        <f t="shared" si="45"/>
        <v>0</v>
      </c>
      <c r="W50" s="387"/>
      <c r="X50" s="337"/>
      <c r="Y50"/>
      <c r="AA50" s="391" t="s">
        <v>444</v>
      </c>
    </row>
    <row r="51" spans="1:27" ht="15.75" customHeight="1" outlineLevel="1">
      <c r="A51" s="323"/>
      <c r="B51" s="324" t="s">
        <v>450</v>
      </c>
      <c r="C51" s="93">
        <v>0</v>
      </c>
      <c r="D51" s="93">
        <f t="shared" si="46"/>
        <v>0</v>
      </c>
      <c r="E51" s="55" t="str">
        <f t="shared" si="36"/>
        <v/>
      </c>
      <c r="F51" s="94">
        <f t="shared" si="37"/>
        <v>0</v>
      </c>
      <c r="G51" s="93">
        <v>0</v>
      </c>
      <c r="H51" s="93"/>
      <c r="I51" s="55" t="str">
        <f t="shared" si="38"/>
        <v/>
      </c>
      <c r="J51" s="94">
        <f t="shared" si="39"/>
        <v>0</v>
      </c>
      <c r="K51" s="93">
        <v>0</v>
      </c>
      <c r="L51" s="93"/>
      <c r="M51" s="55" t="str">
        <f t="shared" si="40"/>
        <v/>
      </c>
      <c r="N51" s="94">
        <f t="shared" si="41"/>
        <v>0</v>
      </c>
      <c r="O51" s="93">
        <v>0</v>
      </c>
      <c r="P51" s="93"/>
      <c r="Q51" s="55" t="str">
        <f t="shared" si="42"/>
        <v/>
      </c>
      <c r="R51" s="94">
        <f t="shared" si="43"/>
        <v>0</v>
      </c>
      <c r="S51" s="93">
        <f t="shared" si="47"/>
        <v>0</v>
      </c>
      <c r="T51" s="93">
        <v>0</v>
      </c>
      <c r="U51" s="55" t="str">
        <f t="shared" si="44"/>
        <v/>
      </c>
      <c r="V51" s="94">
        <f t="shared" si="45"/>
        <v>0</v>
      </c>
      <c r="W51" s="387"/>
      <c r="X51" s="337"/>
      <c r="Y51"/>
      <c r="AA51" s="391" t="s">
        <v>534</v>
      </c>
    </row>
    <row r="52" spans="1:27" ht="15.75" customHeight="1" outlineLevel="1">
      <c r="A52" s="323"/>
      <c r="B52" s="324" t="s">
        <v>28</v>
      </c>
      <c r="C52" s="93">
        <v>-14987</v>
      </c>
      <c r="D52" s="93">
        <f t="shared" si="46"/>
        <v>-14986</v>
      </c>
      <c r="E52" s="55">
        <f t="shared" si="36"/>
        <v>-6.6724494561909431E-5</v>
      </c>
      <c r="F52" s="94">
        <f t="shared" si="37"/>
        <v>1</v>
      </c>
      <c r="G52" s="93">
        <v>0</v>
      </c>
      <c r="H52" s="93"/>
      <c r="I52" s="55" t="str">
        <f t="shared" si="38"/>
        <v/>
      </c>
      <c r="J52" s="94">
        <f t="shared" si="39"/>
        <v>0</v>
      </c>
      <c r="K52" s="93">
        <v>0</v>
      </c>
      <c r="L52" s="93"/>
      <c r="M52" s="55" t="str">
        <f t="shared" si="40"/>
        <v/>
      </c>
      <c r="N52" s="94">
        <f t="shared" si="41"/>
        <v>0</v>
      </c>
      <c r="O52" s="93">
        <v>0</v>
      </c>
      <c r="P52" s="93"/>
      <c r="Q52" s="55" t="str">
        <f t="shared" si="42"/>
        <v/>
      </c>
      <c r="R52" s="94">
        <f t="shared" si="43"/>
        <v>0</v>
      </c>
      <c r="S52" s="93">
        <f t="shared" si="47"/>
        <v>-14987</v>
      </c>
      <c r="T52" s="93">
        <f>[1]DFC1!$G$74</f>
        <v>-14986</v>
      </c>
      <c r="U52" s="55">
        <f t="shared" si="44"/>
        <v>-6.6724494561909431E-5</v>
      </c>
      <c r="V52" s="94">
        <f t="shared" si="45"/>
        <v>1</v>
      </c>
      <c r="W52" s="387"/>
      <c r="X52" s="337"/>
      <c r="Y52"/>
      <c r="AA52" s="391" t="s">
        <v>28</v>
      </c>
    </row>
    <row r="53" spans="1:27" ht="15.75" customHeight="1" outlineLevel="1">
      <c r="A53" s="323"/>
      <c r="B53" s="324" t="s">
        <v>459</v>
      </c>
      <c r="C53" s="93">
        <v>-7</v>
      </c>
      <c r="D53" s="93">
        <f t="shared" si="46"/>
        <v>1020</v>
      </c>
      <c r="E53" s="55">
        <f t="shared" si="36"/>
        <v>-146.71428571428572</v>
      </c>
      <c r="F53" s="94">
        <f t="shared" si="37"/>
        <v>1027</v>
      </c>
      <c r="G53" s="93">
        <v>-67</v>
      </c>
      <c r="H53" s="93"/>
      <c r="I53" s="55">
        <f t="shared" si="38"/>
        <v>-1</v>
      </c>
      <c r="J53" s="94">
        <f t="shared" si="39"/>
        <v>67</v>
      </c>
      <c r="K53" s="93">
        <v>243</v>
      </c>
      <c r="L53" s="93"/>
      <c r="M53" s="55">
        <f t="shared" si="40"/>
        <v>-1</v>
      </c>
      <c r="N53" s="94">
        <f t="shared" si="41"/>
        <v>-243</v>
      </c>
      <c r="O53" s="93">
        <v>-925</v>
      </c>
      <c r="P53" s="93"/>
      <c r="Q53" s="55">
        <f t="shared" si="42"/>
        <v>-1</v>
      </c>
      <c r="R53" s="94">
        <f t="shared" si="43"/>
        <v>925</v>
      </c>
      <c r="S53" s="93">
        <f t="shared" si="47"/>
        <v>-7</v>
      </c>
      <c r="T53" s="93">
        <f>[1]DFC1!$G$67</f>
        <v>1020</v>
      </c>
      <c r="U53" s="55">
        <f t="shared" si="44"/>
        <v>-146.71428571428572</v>
      </c>
      <c r="V53" s="94">
        <f t="shared" si="45"/>
        <v>1027</v>
      </c>
      <c r="W53" s="387"/>
      <c r="X53" s="337"/>
      <c r="Y53"/>
      <c r="AA53" s="391" t="s">
        <v>459</v>
      </c>
    </row>
    <row r="54" spans="1:27" ht="15.75" customHeight="1" outlineLevel="1">
      <c r="A54" s="323"/>
      <c r="B54" s="324" t="s">
        <v>422</v>
      </c>
      <c r="C54" s="93">
        <v>0</v>
      </c>
      <c r="D54" s="93">
        <f t="shared" si="46"/>
        <v>0</v>
      </c>
      <c r="E54" s="55" t="str">
        <f t="shared" si="36"/>
        <v/>
      </c>
      <c r="F54" s="94">
        <f t="shared" si="37"/>
        <v>0</v>
      </c>
      <c r="G54" s="93">
        <v>0</v>
      </c>
      <c r="H54" s="93"/>
      <c r="I54" s="55" t="str">
        <f t="shared" si="38"/>
        <v/>
      </c>
      <c r="J54" s="94">
        <f t="shared" si="39"/>
        <v>0</v>
      </c>
      <c r="K54" s="93">
        <v>0</v>
      </c>
      <c r="L54" s="93"/>
      <c r="M54" s="55" t="str">
        <f t="shared" si="40"/>
        <v/>
      </c>
      <c r="N54" s="94">
        <f t="shared" si="41"/>
        <v>0</v>
      </c>
      <c r="O54" s="93">
        <v>0</v>
      </c>
      <c r="P54" s="93"/>
      <c r="Q54" s="55" t="str">
        <f t="shared" si="42"/>
        <v/>
      </c>
      <c r="R54" s="94">
        <f t="shared" si="43"/>
        <v>0</v>
      </c>
      <c r="S54" s="93">
        <f t="shared" si="47"/>
        <v>0</v>
      </c>
      <c r="T54" s="93">
        <v>0</v>
      </c>
      <c r="U54" s="55" t="str">
        <f t="shared" si="44"/>
        <v/>
      </c>
      <c r="V54" s="94">
        <f t="shared" si="45"/>
        <v>0</v>
      </c>
      <c r="W54" s="387"/>
      <c r="X54" s="337"/>
      <c r="Y54"/>
      <c r="AA54" s="391" t="s">
        <v>422</v>
      </c>
    </row>
    <row r="55" spans="1:27" ht="15.75" customHeight="1">
      <c r="A55" s="323"/>
      <c r="B55" s="324" t="s">
        <v>451</v>
      </c>
      <c r="C55" s="93">
        <v>-4068</v>
      </c>
      <c r="D55" s="93">
        <f t="shared" si="46"/>
        <v>-2066</v>
      </c>
      <c r="E55" s="55">
        <f t="shared" si="36"/>
        <v>-0.49213372664700095</v>
      </c>
      <c r="F55" s="94">
        <f t="shared" si="37"/>
        <v>2002</v>
      </c>
      <c r="G55" s="93">
        <v>-4356</v>
      </c>
      <c r="H55" s="93"/>
      <c r="I55" s="55">
        <f t="shared" si="38"/>
        <v>-1</v>
      </c>
      <c r="J55" s="94">
        <f t="shared" si="39"/>
        <v>4356</v>
      </c>
      <c r="K55" s="93">
        <v>-5404</v>
      </c>
      <c r="L55" s="93"/>
      <c r="M55" s="55">
        <f t="shared" si="40"/>
        <v>-1</v>
      </c>
      <c r="N55" s="94">
        <f t="shared" si="41"/>
        <v>5404</v>
      </c>
      <c r="O55" s="93">
        <v>-45394</v>
      </c>
      <c r="P55" s="93"/>
      <c r="Q55" s="55">
        <f t="shared" si="42"/>
        <v>-1</v>
      </c>
      <c r="R55" s="94">
        <f t="shared" si="43"/>
        <v>45394</v>
      </c>
      <c r="S55" s="93">
        <f t="shared" si="47"/>
        <v>-4068</v>
      </c>
      <c r="T55" s="93">
        <f>[1]DFC1!$G$70</f>
        <v>-2066</v>
      </c>
      <c r="U55" s="55">
        <f t="shared" si="44"/>
        <v>-0.49213372664700095</v>
      </c>
      <c r="V55" s="94">
        <f t="shared" si="45"/>
        <v>2002</v>
      </c>
      <c r="W55" s="387"/>
      <c r="X55" s="337"/>
      <c r="Y55"/>
      <c r="AA55" s="391" t="s">
        <v>533</v>
      </c>
    </row>
    <row r="56" spans="1:27" ht="15.75" customHeight="1">
      <c r="A56" s="323"/>
      <c r="B56" s="324" t="s">
        <v>460</v>
      </c>
      <c r="C56" s="23">
        <v>0</v>
      </c>
      <c r="D56" s="93">
        <f t="shared" si="46"/>
        <v>0</v>
      </c>
      <c r="E56" s="55" t="str">
        <f t="shared" si="36"/>
        <v/>
      </c>
      <c r="F56" s="94">
        <f t="shared" si="37"/>
        <v>0</v>
      </c>
      <c r="G56" s="93">
        <v>0</v>
      </c>
      <c r="H56" s="93"/>
      <c r="I56" s="55" t="str">
        <f t="shared" si="38"/>
        <v/>
      </c>
      <c r="J56" s="94">
        <f t="shared" si="39"/>
        <v>0</v>
      </c>
      <c r="K56" s="93">
        <v>0</v>
      </c>
      <c r="L56" s="93"/>
      <c r="M56" s="55" t="str">
        <f t="shared" si="40"/>
        <v/>
      </c>
      <c r="N56" s="94">
        <f t="shared" si="41"/>
        <v>0</v>
      </c>
      <c r="O56" s="93">
        <v>0</v>
      </c>
      <c r="P56" s="93"/>
      <c r="Q56" s="55" t="str">
        <f t="shared" si="42"/>
        <v/>
      </c>
      <c r="R56" s="94">
        <f t="shared" si="43"/>
        <v>0</v>
      </c>
      <c r="S56" s="93">
        <f t="shared" si="47"/>
        <v>0</v>
      </c>
      <c r="T56" s="93">
        <v>0</v>
      </c>
      <c r="U56" s="55" t="str">
        <f t="shared" si="44"/>
        <v/>
      </c>
      <c r="V56" s="94">
        <f t="shared" si="45"/>
        <v>0</v>
      </c>
      <c r="W56" s="387"/>
      <c r="X56" s="337"/>
      <c r="Y56"/>
      <c r="AA56" s="391" t="s">
        <v>460</v>
      </c>
    </row>
    <row r="57" spans="1:27" ht="15.75" customHeight="1">
      <c r="A57" s="323"/>
      <c r="B57" s="324" t="s">
        <v>461</v>
      </c>
      <c r="C57" s="23">
        <v>-344</v>
      </c>
      <c r="D57" s="93">
        <f t="shared" si="46"/>
        <v>-318</v>
      </c>
      <c r="E57" s="55">
        <f t="shared" si="36"/>
        <v>-7.5581395348837233E-2</v>
      </c>
      <c r="F57" s="94">
        <f t="shared" si="37"/>
        <v>26</v>
      </c>
      <c r="G57" s="93">
        <v>-374</v>
      </c>
      <c r="H57" s="93"/>
      <c r="I57" s="55">
        <f t="shared" si="38"/>
        <v>-1</v>
      </c>
      <c r="J57" s="94">
        <f t="shared" si="39"/>
        <v>374</v>
      </c>
      <c r="K57" s="93">
        <v>-338</v>
      </c>
      <c r="L57" s="93"/>
      <c r="M57" s="55">
        <f t="shared" si="40"/>
        <v>-1</v>
      </c>
      <c r="N57" s="94">
        <f t="shared" si="41"/>
        <v>338</v>
      </c>
      <c r="O57" s="93">
        <v>-481</v>
      </c>
      <c r="P57" s="93"/>
      <c r="Q57" s="55">
        <f t="shared" si="42"/>
        <v>-1</v>
      </c>
      <c r="R57" s="94">
        <f t="shared" si="43"/>
        <v>481</v>
      </c>
      <c r="S57" s="93">
        <f t="shared" si="47"/>
        <v>-344</v>
      </c>
      <c r="T57" s="93">
        <f>[1]DFC1!$G$73</f>
        <v>-318</v>
      </c>
      <c r="U57" s="55">
        <f t="shared" si="44"/>
        <v>-7.5581395348837233E-2</v>
      </c>
      <c r="V57" s="94">
        <f t="shared" si="45"/>
        <v>26</v>
      </c>
      <c r="W57" s="387"/>
      <c r="X57" s="337"/>
      <c r="Y57"/>
      <c r="AA57" s="391" t="s">
        <v>461</v>
      </c>
    </row>
    <row r="58" spans="1:27" ht="15.75" customHeight="1">
      <c r="A58" s="323"/>
      <c r="B58" s="324" t="s">
        <v>452</v>
      </c>
      <c r="C58" s="93"/>
      <c r="D58" s="93">
        <f t="shared" si="46"/>
        <v>0</v>
      </c>
      <c r="E58" s="55" t="str">
        <f t="shared" si="36"/>
        <v/>
      </c>
      <c r="F58" s="56">
        <f t="shared" si="37"/>
        <v>0</v>
      </c>
      <c r="G58" s="93">
        <v>0</v>
      </c>
      <c r="H58" s="93"/>
      <c r="I58" s="55" t="str">
        <f t="shared" si="38"/>
        <v/>
      </c>
      <c r="J58" s="56">
        <f t="shared" si="39"/>
        <v>0</v>
      </c>
      <c r="K58" s="93">
        <v>0</v>
      </c>
      <c r="L58" s="93"/>
      <c r="M58" s="55" t="str">
        <f t="shared" si="40"/>
        <v/>
      </c>
      <c r="N58" s="56">
        <f t="shared" si="41"/>
        <v>0</v>
      </c>
      <c r="O58" s="93">
        <v>0</v>
      </c>
      <c r="P58" s="93"/>
      <c r="Q58" s="55" t="str">
        <f t="shared" si="42"/>
        <v/>
      </c>
      <c r="R58" s="56">
        <f t="shared" si="43"/>
        <v>0</v>
      </c>
      <c r="S58" s="93">
        <f t="shared" si="47"/>
        <v>0</v>
      </c>
      <c r="T58" s="93"/>
      <c r="U58" s="55" t="str">
        <f t="shared" si="44"/>
        <v/>
      </c>
      <c r="V58" s="56">
        <f t="shared" si="45"/>
        <v>0</v>
      </c>
      <c r="W58" s="387"/>
      <c r="X58" s="337"/>
      <c r="Y58"/>
      <c r="AA58" s="391" t="s">
        <v>534</v>
      </c>
    </row>
    <row r="59" spans="1:27" ht="15.75" customHeight="1">
      <c r="A59" s="323"/>
      <c r="B59" s="324" t="s">
        <v>497</v>
      </c>
      <c r="C59" s="93">
        <v>0</v>
      </c>
      <c r="D59" s="93">
        <f t="shared" si="46"/>
        <v>0</v>
      </c>
      <c r="E59" s="55" t="str">
        <f t="shared" si="36"/>
        <v/>
      </c>
      <c r="F59" s="56">
        <f t="shared" si="37"/>
        <v>0</v>
      </c>
      <c r="G59" s="93">
        <v>1184</v>
      </c>
      <c r="H59" s="93"/>
      <c r="I59" s="55">
        <f t="shared" si="38"/>
        <v>-1</v>
      </c>
      <c r="J59" s="56">
        <f t="shared" si="39"/>
        <v>-1184</v>
      </c>
      <c r="K59" s="93">
        <v>2625</v>
      </c>
      <c r="L59" s="93"/>
      <c r="M59" s="55">
        <f t="shared" si="40"/>
        <v>-1</v>
      </c>
      <c r="N59" s="56">
        <f t="shared" si="41"/>
        <v>-2625</v>
      </c>
      <c r="O59" s="93">
        <v>0</v>
      </c>
      <c r="P59" s="93"/>
      <c r="Q59" s="55" t="str">
        <f t="shared" si="42"/>
        <v/>
      </c>
      <c r="R59" s="56">
        <f t="shared" si="43"/>
        <v>0</v>
      </c>
      <c r="S59" s="93">
        <f t="shared" si="47"/>
        <v>0</v>
      </c>
      <c r="T59" s="93">
        <f>[1]DFC1!$G$75</f>
        <v>0</v>
      </c>
      <c r="U59" s="55" t="str">
        <f t="shared" si="44"/>
        <v/>
      </c>
      <c r="V59" s="56">
        <f t="shared" si="45"/>
        <v>0</v>
      </c>
      <c r="W59" s="387"/>
      <c r="X59" s="337"/>
      <c r="Y59"/>
      <c r="AA59" s="391" t="s">
        <v>497</v>
      </c>
    </row>
    <row r="60" spans="1:27" ht="15.75" customHeight="1">
      <c r="A60" s="329" t="s">
        <v>453</v>
      </c>
      <c r="B60" s="330"/>
      <c r="C60" s="17">
        <f>SUM(C49:C59)</f>
        <v>-23631</v>
      </c>
      <c r="D60" s="17">
        <f>SUM(D49:D59)</f>
        <v>-24217</v>
      </c>
      <c r="E60" s="69">
        <f t="shared" si="36"/>
        <v>2.4797934916000131E-2</v>
      </c>
      <c r="F60" s="70">
        <f t="shared" si="37"/>
        <v>-586</v>
      </c>
      <c r="G60" s="17">
        <v>-16490</v>
      </c>
      <c r="H60" s="17">
        <f>SUM(H49:H59)</f>
        <v>0</v>
      </c>
      <c r="I60" s="69">
        <f t="shared" si="38"/>
        <v>-1</v>
      </c>
      <c r="J60" s="70">
        <f t="shared" si="39"/>
        <v>16490</v>
      </c>
      <c r="K60" s="17">
        <v>-6586</v>
      </c>
      <c r="L60" s="17">
        <f>SUM(L49:L59)</f>
        <v>0</v>
      </c>
      <c r="M60" s="69">
        <f t="shared" si="40"/>
        <v>-1</v>
      </c>
      <c r="N60" s="70">
        <f t="shared" si="41"/>
        <v>6586</v>
      </c>
      <c r="O60" s="17">
        <v>-51824</v>
      </c>
      <c r="P60" s="17">
        <f>SUM(P49:P59)</f>
        <v>0</v>
      </c>
      <c r="Q60" s="69">
        <f t="shared" si="42"/>
        <v>-1</v>
      </c>
      <c r="R60" s="70">
        <f t="shared" si="43"/>
        <v>51824</v>
      </c>
      <c r="S60" s="17">
        <f>SUM(S49:S59)</f>
        <v>-23631</v>
      </c>
      <c r="T60" s="17">
        <f>SUM(T49:T59)</f>
        <v>-24217</v>
      </c>
      <c r="U60" s="69">
        <f t="shared" si="44"/>
        <v>2.4797934916000131E-2</v>
      </c>
      <c r="V60" s="70">
        <f t="shared" si="45"/>
        <v>-586</v>
      </c>
      <c r="W60" s="387"/>
      <c r="X60" s="337"/>
      <c r="Y60"/>
    </row>
    <row r="61" spans="1:27" ht="15.75" customHeight="1" thickBot="1">
      <c r="A61" s="331"/>
      <c r="B61" s="332" t="s">
        <v>29</v>
      </c>
      <c r="C61" s="20">
        <f>C60+C47+C36</f>
        <v>-31275</v>
      </c>
      <c r="D61" s="20">
        <f>D60+D47+D36</f>
        <v>-11810</v>
      </c>
      <c r="E61" s="71">
        <f t="shared" si="36"/>
        <v>-0.62238209432454039</v>
      </c>
      <c r="F61" s="72">
        <f t="shared" si="37"/>
        <v>19465</v>
      </c>
      <c r="G61" s="20">
        <v>-22500</v>
      </c>
      <c r="H61" s="20"/>
      <c r="I61" s="71">
        <f t="shared" si="38"/>
        <v>-1</v>
      </c>
      <c r="J61" s="72">
        <f t="shared" si="39"/>
        <v>22500</v>
      </c>
      <c r="K61" s="20">
        <v>3800</v>
      </c>
      <c r="L61" s="20">
        <f>SUM(L60,L47,L36)</f>
        <v>0</v>
      </c>
      <c r="M61" s="71">
        <f t="shared" si="40"/>
        <v>-1</v>
      </c>
      <c r="N61" s="72">
        <f t="shared" si="41"/>
        <v>-3800</v>
      </c>
      <c r="O61" s="20">
        <v>-32674</v>
      </c>
      <c r="P61" s="20">
        <f>SUM(P60,P47,P36)</f>
        <v>0</v>
      </c>
      <c r="Q61" s="71">
        <f t="shared" si="42"/>
        <v>-1</v>
      </c>
      <c r="R61" s="72">
        <f t="shared" si="43"/>
        <v>32674</v>
      </c>
      <c r="S61" s="20">
        <f>S60+S47+S36</f>
        <v>-31275</v>
      </c>
      <c r="T61" s="20">
        <f>T60+T47+T36</f>
        <v>-11810</v>
      </c>
      <c r="U61" s="71">
        <f t="shared" si="44"/>
        <v>-0.62238209432454039</v>
      </c>
      <c r="V61" s="72">
        <f t="shared" si="45"/>
        <v>19465</v>
      </c>
      <c r="W61" s="387"/>
      <c r="X61" s="337"/>
      <c r="Y61"/>
    </row>
    <row r="62" spans="1:27" ht="15.75" customHeight="1">
      <c r="A62" s="323"/>
      <c r="B62" s="324"/>
      <c r="C62" s="16"/>
      <c r="D62" s="16"/>
      <c r="E62" s="55"/>
      <c r="F62" s="56"/>
      <c r="G62" s="24"/>
      <c r="H62" s="16"/>
      <c r="I62" s="55"/>
      <c r="J62" s="56"/>
      <c r="K62" s="24"/>
      <c r="L62" s="16"/>
      <c r="M62" s="55"/>
      <c r="N62" s="56"/>
      <c r="O62" s="24"/>
      <c r="P62" s="16"/>
      <c r="Q62" s="55"/>
      <c r="R62" s="56"/>
      <c r="S62" s="24"/>
      <c r="T62" s="24"/>
      <c r="U62" s="55"/>
      <c r="V62" s="56"/>
      <c r="W62" s="387"/>
      <c r="X62" s="337"/>
      <c r="Y62"/>
    </row>
    <row r="63" spans="1:27" ht="15.75" customHeight="1">
      <c r="A63" s="323"/>
      <c r="B63" s="3" t="s">
        <v>454</v>
      </c>
      <c r="C63" s="26">
        <v>119913</v>
      </c>
      <c r="D63" s="403">
        <v>37264</v>
      </c>
      <c r="E63" s="73">
        <f>IFERROR(D63/C63-1,"")</f>
        <v>-0.68924136665749336</v>
      </c>
      <c r="F63" s="94">
        <f>D63-C63</f>
        <v>-82649</v>
      </c>
      <c r="G63" s="93">
        <f>C65</f>
        <v>88638</v>
      </c>
      <c r="H63" s="301"/>
      <c r="I63" s="73">
        <f>IFERROR(H63/G63-1,"")</f>
        <v>-1</v>
      </c>
      <c r="J63" s="94">
        <f>H63-G63</f>
        <v>-88638</v>
      </c>
      <c r="K63" s="93">
        <v>66138</v>
      </c>
      <c r="L63" s="301"/>
      <c r="M63" s="73">
        <f>IFERROR(L63/K63-1,"")</f>
        <v>-1</v>
      </c>
      <c r="N63" s="94">
        <f>L63-K63</f>
        <v>-66138</v>
      </c>
      <c r="O63" s="93">
        <v>69938</v>
      </c>
      <c r="P63" s="301">
        <f>L65</f>
        <v>0</v>
      </c>
      <c r="Q63" s="73">
        <f>IFERROR(P63/O63-1,"")</f>
        <v>-1</v>
      </c>
      <c r="R63" s="94">
        <f>P63-O63</f>
        <v>-69938</v>
      </c>
      <c r="S63" s="98">
        <f>C63</f>
        <v>119913</v>
      </c>
      <c r="T63" s="404">
        <f>D63</f>
        <v>37264</v>
      </c>
      <c r="U63" s="73">
        <f>IFERROR(T63/S63-1,"")</f>
        <v>-0.68924136665749336</v>
      </c>
      <c r="V63" s="94">
        <f>T63-S63</f>
        <v>-82649</v>
      </c>
      <c r="W63" s="387"/>
      <c r="X63" s="337"/>
      <c r="Y63"/>
      <c r="AA63" s="391" t="s">
        <v>391</v>
      </c>
    </row>
    <row r="64" spans="1:27" ht="15.75" customHeight="1">
      <c r="A64" s="323"/>
      <c r="B64" s="324"/>
      <c r="C64" s="16"/>
      <c r="D64" s="16"/>
      <c r="E64" s="55"/>
      <c r="F64" s="56"/>
      <c r="G64" s="23"/>
      <c r="H64" s="16"/>
      <c r="I64" s="55"/>
      <c r="J64" s="56"/>
      <c r="K64" s="23"/>
      <c r="L64" s="16"/>
      <c r="M64" s="55"/>
      <c r="N64" s="56"/>
      <c r="O64" s="23"/>
      <c r="P64" s="16"/>
      <c r="Q64" s="55"/>
      <c r="R64" s="56"/>
      <c r="S64" s="23"/>
      <c r="T64" s="23"/>
      <c r="U64" s="55"/>
      <c r="V64" s="56"/>
      <c r="W64" s="387"/>
      <c r="X64" s="337"/>
    </row>
    <row r="65" spans="1:24" ht="15.75" customHeight="1" thickBot="1">
      <c r="A65" s="327"/>
      <c r="B65" s="328" t="s">
        <v>455</v>
      </c>
      <c r="C65" s="21">
        <f>SUM(C61:C64)</f>
        <v>88638</v>
      </c>
      <c r="D65" s="21">
        <f>SUM(D61:D64)</f>
        <v>25454</v>
      </c>
      <c r="E65" s="74">
        <f>IFERROR(D65/C65-1,"")</f>
        <v>-0.71283196823033013</v>
      </c>
      <c r="F65" s="96">
        <f>D65-C65</f>
        <v>-63184</v>
      </c>
      <c r="G65" s="21">
        <v>66138</v>
      </c>
      <c r="H65" s="21"/>
      <c r="I65" s="74">
        <f>IFERROR(H65/G65-1,"")</f>
        <v>-1</v>
      </c>
      <c r="J65" s="96">
        <f>H65-G65</f>
        <v>-66138</v>
      </c>
      <c r="K65" s="21">
        <v>69938</v>
      </c>
      <c r="L65" s="21">
        <f>SUM(L61,L63)</f>
        <v>0</v>
      </c>
      <c r="M65" s="74">
        <f>IFERROR(L65/K65-1,"")</f>
        <v>-1</v>
      </c>
      <c r="N65" s="96">
        <f>L65-K65</f>
        <v>-69938</v>
      </c>
      <c r="O65" s="21">
        <v>37264</v>
      </c>
      <c r="P65" s="21">
        <f>SUM(P61,P63)</f>
        <v>0</v>
      </c>
      <c r="Q65" s="74">
        <f>IFERROR(P65/O65-1,"")</f>
        <v>-1</v>
      </c>
      <c r="R65" s="96">
        <f>P65-O65</f>
        <v>-37264</v>
      </c>
      <c r="S65" s="21">
        <f>SUM(S61:S64)</f>
        <v>88638</v>
      </c>
      <c r="T65" s="21">
        <f>SUM(T61:T64)</f>
        <v>25454</v>
      </c>
      <c r="U65" s="74">
        <f>IFERROR(T65/S65-1,"")</f>
        <v>-0.71283196823033013</v>
      </c>
      <c r="V65" s="96">
        <f>T65-S65</f>
        <v>-63184</v>
      </c>
      <c r="W65" s="387"/>
      <c r="X65" s="337"/>
    </row>
    <row r="66" spans="1:24" ht="15.75" customHeight="1">
      <c r="C66" s="87"/>
      <c r="D66" s="87"/>
      <c r="L66" s="301"/>
      <c r="P66" s="400"/>
      <c r="S66" s="36"/>
    </row>
    <row r="67" spans="1:24" ht="15.75" hidden="1" customHeight="1">
      <c r="L67" s="301"/>
      <c r="P67" s="400"/>
    </row>
    <row r="68" spans="1:24" ht="12" hidden="1">
      <c r="A68" s="34" t="s">
        <v>56</v>
      </c>
      <c r="B68" s="34"/>
      <c r="C68" s="34"/>
      <c r="D68" s="34"/>
      <c r="E68" s="99"/>
      <c r="F68" s="99"/>
      <c r="G68" s="34"/>
      <c r="H68" s="34"/>
      <c r="I68" s="275" t="str">
        <f>G2</f>
        <v>2T25</v>
      </c>
      <c r="J68" s="276" t="str">
        <f>H2</f>
        <v>2T26</v>
      </c>
      <c r="K68" s="34"/>
      <c r="L68" s="301"/>
      <c r="M68" s="275"/>
      <c r="N68" s="276"/>
      <c r="O68" s="34"/>
      <c r="P68" s="401"/>
      <c r="Q68" s="275"/>
      <c r="R68" s="276"/>
      <c r="S68" s="34"/>
      <c r="T68" s="34"/>
      <c r="U68" s="275">
        <f>S2</f>
        <v>2025</v>
      </c>
      <c r="V68" s="276">
        <f>T2</f>
        <v>2026</v>
      </c>
    </row>
    <row r="69" spans="1:24" ht="12" hidden="1">
      <c r="A69" s="34" t="s">
        <v>57</v>
      </c>
      <c r="B69" s="34"/>
      <c r="C69" s="35">
        <v>-5697</v>
      </c>
      <c r="D69" s="35">
        <v>5777</v>
      </c>
      <c r="E69" s="268">
        <f>C69/1000</f>
        <v>-5.6970000000000001</v>
      </c>
      <c r="F69" s="268">
        <f>D69/1000</f>
        <v>5.7770000000000001</v>
      </c>
      <c r="G69" s="35"/>
      <c r="H69" s="35"/>
      <c r="I69" s="271">
        <f>G69/10^3</f>
        <v>0</v>
      </c>
      <c r="J69" s="272">
        <f>H69/10^3</f>
        <v>0</v>
      </c>
      <c r="K69" s="35"/>
      <c r="L69" s="301"/>
      <c r="M69" s="271"/>
      <c r="N69" s="272"/>
      <c r="O69" s="35"/>
      <c r="P69" s="401"/>
      <c r="Q69" s="271"/>
      <c r="R69" s="272"/>
      <c r="S69" s="35">
        <v>-5697</v>
      </c>
      <c r="T69" s="35"/>
      <c r="U69" s="271">
        <f>S69/10^3</f>
        <v>-5.6970000000000001</v>
      </c>
      <c r="V69" s="272">
        <f>T69/10^3</f>
        <v>0</v>
      </c>
    </row>
    <row r="70" spans="1:24" ht="12" hidden="1">
      <c r="A70" s="34" t="s">
        <v>58</v>
      </c>
      <c r="B70" s="34"/>
      <c r="C70" s="35">
        <v>20270</v>
      </c>
      <c r="D70" s="35">
        <v>9491</v>
      </c>
      <c r="E70" s="268">
        <f t="shared" ref="E70:E76" si="48">C70/1000</f>
        <v>20.27</v>
      </c>
      <c r="F70" s="268">
        <f t="shared" ref="F70:F76" si="49">D70/1000</f>
        <v>9.4909999999999997</v>
      </c>
      <c r="G70" s="35"/>
      <c r="H70" s="35"/>
      <c r="I70" s="271">
        <f t="shared" ref="I70:I76" si="50">G70/10^3</f>
        <v>0</v>
      </c>
      <c r="J70" s="272">
        <f t="shared" ref="J70:J76" si="51">H70/10^3</f>
        <v>0</v>
      </c>
      <c r="K70" s="35"/>
      <c r="L70" s="301"/>
      <c r="M70" s="271"/>
      <c r="N70" s="272"/>
      <c r="O70" s="35"/>
      <c r="P70" s="401"/>
      <c r="Q70" s="271"/>
      <c r="R70" s="272"/>
      <c r="S70" s="35">
        <v>20270</v>
      </c>
      <c r="T70" s="35"/>
      <c r="U70" s="271">
        <f t="shared" ref="U70:U76" si="52">S70/10^3</f>
        <v>20.27</v>
      </c>
      <c r="V70" s="272">
        <f t="shared" ref="V70:V76" si="53">T70/10^3</f>
        <v>0</v>
      </c>
    </row>
    <row r="71" spans="1:24" ht="12" hidden="1">
      <c r="A71" s="34" t="s">
        <v>59</v>
      </c>
      <c r="B71" s="34"/>
      <c r="C71" s="35">
        <v>-12276</v>
      </c>
      <c r="D71" s="35">
        <v>6215</v>
      </c>
      <c r="E71" s="268">
        <f t="shared" si="48"/>
        <v>-12.276</v>
      </c>
      <c r="F71" s="268">
        <f t="shared" si="49"/>
        <v>6.2149999999999999</v>
      </c>
      <c r="G71" s="35"/>
      <c r="H71" s="35"/>
      <c r="I71" s="271">
        <f t="shared" si="50"/>
        <v>0</v>
      </c>
      <c r="J71" s="272">
        <f t="shared" si="51"/>
        <v>0</v>
      </c>
      <c r="K71" s="35"/>
      <c r="L71" s="301"/>
      <c r="M71" s="271"/>
      <c r="N71" s="272"/>
      <c r="O71" s="35"/>
      <c r="P71" s="401"/>
      <c r="Q71" s="271"/>
      <c r="R71" s="272"/>
      <c r="S71" s="35">
        <v>-12276</v>
      </c>
      <c r="T71" s="35"/>
      <c r="U71" s="271">
        <f t="shared" si="52"/>
        <v>-12.276</v>
      </c>
      <c r="V71" s="272">
        <f t="shared" si="53"/>
        <v>0</v>
      </c>
    </row>
    <row r="72" spans="1:24" ht="12" hidden="1">
      <c r="A72" s="34" t="s">
        <v>60</v>
      </c>
      <c r="B72" s="34"/>
      <c r="C72" s="35">
        <v>-976</v>
      </c>
      <c r="D72" s="35">
        <v>-2714</v>
      </c>
      <c r="E72" s="268">
        <f t="shared" si="48"/>
        <v>-0.97599999999999998</v>
      </c>
      <c r="F72" s="268">
        <f t="shared" si="49"/>
        <v>-2.714</v>
      </c>
      <c r="G72" s="35"/>
      <c r="H72" s="35"/>
      <c r="I72" s="271">
        <f t="shared" si="50"/>
        <v>0</v>
      </c>
      <c r="J72" s="272">
        <f t="shared" si="51"/>
        <v>0</v>
      </c>
      <c r="K72" s="35"/>
      <c r="L72" s="301"/>
      <c r="M72" s="271"/>
      <c r="N72" s="272"/>
      <c r="O72" s="35"/>
      <c r="P72" s="401"/>
      <c r="Q72" s="271"/>
      <c r="R72" s="272"/>
      <c r="S72" s="35">
        <v>-976</v>
      </c>
      <c r="T72" s="35"/>
      <c r="U72" s="271">
        <f t="shared" si="52"/>
        <v>-0.97599999999999998</v>
      </c>
      <c r="V72" s="272">
        <f t="shared" si="53"/>
        <v>0</v>
      </c>
    </row>
    <row r="73" spans="1:24" ht="12" hidden="1">
      <c r="A73" s="34" t="s">
        <v>61</v>
      </c>
      <c r="B73" s="34"/>
      <c r="C73" s="35">
        <v>-10875</v>
      </c>
      <c r="D73" s="35">
        <v>-22089</v>
      </c>
      <c r="E73" s="268">
        <f t="shared" si="48"/>
        <v>-10.875</v>
      </c>
      <c r="F73" s="268">
        <f t="shared" si="49"/>
        <v>-22.088999999999999</v>
      </c>
      <c r="G73" s="35"/>
      <c r="H73" s="35"/>
      <c r="I73" s="271">
        <f t="shared" si="50"/>
        <v>0</v>
      </c>
      <c r="J73" s="272">
        <f t="shared" si="51"/>
        <v>0</v>
      </c>
      <c r="K73" s="35"/>
      <c r="L73" s="301"/>
      <c r="M73" s="271"/>
      <c r="N73" s="272"/>
      <c r="O73" s="35"/>
      <c r="P73" s="401"/>
      <c r="Q73" s="271"/>
      <c r="R73" s="272"/>
      <c r="S73" s="35">
        <v>-10875</v>
      </c>
      <c r="T73" s="35"/>
      <c r="U73" s="271">
        <f t="shared" si="52"/>
        <v>-10.875</v>
      </c>
      <c r="V73" s="272">
        <f t="shared" si="53"/>
        <v>0</v>
      </c>
    </row>
    <row r="74" spans="1:24" ht="12" hidden="1">
      <c r="A74" s="34" t="s">
        <v>62</v>
      </c>
      <c r="B74" s="34"/>
      <c r="C74" s="35">
        <v>-9554</v>
      </c>
      <c r="D74" s="35">
        <v>-3320</v>
      </c>
      <c r="E74" s="268">
        <f t="shared" si="48"/>
        <v>-9.5540000000000003</v>
      </c>
      <c r="F74" s="268">
        <f t="shared" si="49"/>
        <v>-3.32</v>
      </c>
      <c r="G74" s="35"/>
      <c r="H74" s="35"/>
      <c r="I74" s="271">
        <f t="shared" si="50"/>
        <v>0</v>
      </c>
      <c r="J74" s="272">
        <f t="shared" si="51"/>
        <v>0</v>
      </c>
      <c r="K74" s="35"/>
      <c r="L74" s="301"/>
      <c r="M74" s="271"/>
      <c r="N74" s="272"/>
      <c r="O74" s="35"/>
      <c r="P74" s="401"/>
      <c r="Q74" s="271"/>
      <c r="R74" s="272"/>
      <c r="S74" s="35">
        <v>-9554</v>
      </c>
      <c r="T74" s="35"/>
      <c r="U74" s="271">
        <f t="shared" si="52"/>
        <v>-9.5540000000000003</v>
      </c>
      <c r="V74" s="272">
        <f t="shared" si="53"/>
        <v>0</v>
      </c>
    </row>
    <row r="75" spans="1:24" ht="12" hidden="1">
      <c r="A75" s="34" t="s">
        <v>63</v>
      </c>
      <c r="B75" s="34"/>
      <c r="C75" s="35">
        <v>89633</v>
      </c>
      <c r="D75" s="35">
        <v>98325</v>
      </c>
      <c r="E75" s="268">
        <f t="shared" si="48"/>
        <v>89.632999999999996</v>
      </c>
      <c r="F75" s="268">
        <f t="shared" si="49"/>
        <v>98.325000000000003</v>
      </c>
      <c r="G75" s="35"/>
      <c r="H75" s="35"/>
      <c r="I75" s="271">
        <f t="shared" si="50"/>
        <v>0</v>
      </c>
      <c r="J75" s="272">
        <f t="shared" si="51"/>
        <v>0</v>
      </c>
      <c r="K75" s="35"/>
      <c r="L75" s="301"/>
      <c r="M75" s="271"/>
      <c r="N75" s="272"/>
      <c r="O75" s="35"/>
      <c r="P75" s="401"/>
      <c r="Q75" s="271"/>
      <c r="R75" s="272"/>
      <c r="S75" s="35">
        <v>89633</v>
      </c>
      <c r="T75" s="35"/>
      <c r="U75" s="271">
        <f t="shared" si="52"/>
        <v>89.632999999999996</v>
      </c>
      <c r="V75" s="272">
        <f t="shared" si="53"/>
        <v>0</v>
      </c>
    </row>
    <row r="76" spans="1:24" ht="12" hidden="1">
      <c r="A76" s="34" t="s">
        <v>64</v>
      </c>
      <c r="B76" s="34"/>
      <c r="C76" s="35">
        <v>80079</v>
      </c>
      <c r="D76" s="35">
        <v>95005</v>
      </c>
      <c r="E76" s="268">
        <f t="shared" si="48"/>
        <v>80.078999999999994</v>
      </c>
      <c r="F76" s="268">
        <f t="shared" si="49"/>
        <v>95.004999999999995</v>
      </c>
      <c r="G76" s="35"/>
      <c r="H76" s="35"/>
      <c r="I76" s="273">
        <f t="shared" si="50"/>
        <v>0</v>
      </c>
      <c r="J76" s="274">
        <f t="shared" si="51"/>
        <v>0</v>
      </c>
      <c r="K76" s="35"/>
      <c r="L76" s="301"/>
      <c r="M76" s="273"/>
      <c r="N76" s="274"/>
      <c r="O76" s="35"/>
      <c r="P76" s="401"/>
      <c r="Q76" s="273"/>
      <c r="R76" s="274"/>
      <c r="S76" s="35">
        <v>80079</v>
      </c>
      <c r="T76" s="35"/>
      <c r="U76" s="273">
        <f t="shared" si="52"/>
        <v>80.078999999999994</v>
      </c>
      <c r="V76" s="274">
        <f t="shared" si="53"/>
        <v>0</v>
      </c>
    </row>
    <row r="77" spans="1:24" ht="12" hidden="1">
      <c r="A77" s="11"/>
      <c r="B77" s="11"/>
      <c r="C77" s="86"/>
      <c r="D77" s="11"/>
      <c r="E77" s="11"/>
      <c r="F77" s="11"/>
      <c r="H77" s="11"/>
      <c r="I77" s="11"/>
      <c r="J77" s="11"/>
      <c r="L77" s="301"/>
      <c r="M77" s="11"/>
      <c r="N77" s="11"/>
      <c r="P77" s="402"/>
      <c r="Q77" s="11"/>
      <c r="R77" s="11"/>
      <c r="S77" s="86"/>
      <c r="T77" s="11"/>
      <c r="U77" s="76"/>
      <c r="V77" s="76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301"/>
      <c r="M78" s="11"/>
      <c r="N78" s="11"/>
      <c r="P78" s="402"/>
      <c r="Q78" s="11"/>
      <c r="R78" s="11"/>
      <c r="T78" s="11"/>
      <c r="U78" s="76"/>
      <c r="V78" s="76"/>
    </row>
    <row r="79" spans="1:24" ht="12" hidden="1">
      <c r="A79" s="11" t="s">
        <v>65</v>
      </c>
      <c r="B79" s="11"/>
      <c r="C79" s="11"/>
      <c r="D79" s="11"/>
      <c r="E79" s="11"/>
      <c r="F79" s="11"/>
      <c r="H79" s="11"/>
      <c r="I79" s="11"/>
      <c r="J79" s="11"/>
      <c r="L79" s="301"/>
      <c r="M79" s="11"/>
      <c r="N79" s="11"/>
      <c r="P79" s="402"/>
      <c r="Q79" s="11"/>
      <c r="R79" s="11"/>
      <c r="S79" s="86"/>
      <c r="T79" s="11"/>
      <c r="U79" s="76"/>
      <c r="V79" s="76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301"/>
      <c r="M80" s="11"/>
      <c r="N80" s="11"/>
      <c r="P80" s="402"/>
      <c r="Q80" s="11"/>
      <c r="R80" s="11"/>
      <c r="T80" s="11"/>
      <c r="U80" s="76"/>
      <c r="V80" s="76"/>
    </row>
    <row r="81" spans="1:22" ht="12" hidden="1">
      <c r="A81" s="6" t="s">
        <v>66</v>
      </c>
      <c r="B81" s="11"/>
      <c r="C81" s="11"/>
      <c r="D81" s="11"/>
      <c r="E81" s="11"/>
      <c r="F81" s="11"/>
      <c r="H81" s="11"/>
      <c r="I81" s="11"/>
      <c r="J81" s="11"/>
      <c r="L81" s="301"/>
      <c r="M81" s="11"/>
      <c r="N81" s="11"/>
      <c r="P81" s="402"/>
      <c r="Q81" s="11"/>
      <c r="R81" s="11"/>
      <c r="T81" s="11"/>
      <c r="U81" s="76"/>
      <c r="V81" s="76"/>
    </row>
    <row r="82" spans="1:22" ht="12" hidden="1">
      <c r="A82" s="6" t="s">
        <v>67</v>
      </c>
      <c r="B82" s="11"/>
      <c r="C82" s="11"/>
      <c r="D82" s="11"/>
      <c r="E82" s="11"/>
      <c r="F82" s="11"/>
      <c r="H82" s="11"/>
      <c r="I82" s="11"/>
      <c r="J82" s="11"/>
      <c r="L82" s="301"/>
      <c r="M82" s="11"/>
      <c r="N82" s="11"/>
      <c r="P82" s="402"/>
      <c r="Q82" s="11"/>
      <c r="R82" s="11"/>
      <c r="S82" s="36"/>
      <c r="T82" s="11"/>
      <c r="U82" s="76"/>
      <c r="V82" s="76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301"/>
      <c r="M83" s="11"/>
      <c r="N83" s="11"/>
      <c r="P83" s="402"/>
      <c r="Q83" s="11"/>
      <c r="R83" s="11"/>
      <c r="T83" s="11"/>
      <c r="U83" s="76"/>
      <c r="V83" s="76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01"/>
      <c r="M84" s="11"/>
      <c r="N84" s="11"/>
      <c r="O84" s="11"/>
      <c r="P84" s="402"/>
      <c r="Q84" s="11"/>
      <c r="R84" s="11"/>
      <c r="T84" s="11"/>
      <c r="U84" s="76"/>
      <c r="V84" s="76"/>
    </row>
    <row r="85" spans="1:22" ht="12" hidden="1">
      <c r="A85" s="11" t="s">
        <v>69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01"/>
      <c r="M85" s="11"/>
      <c r="N85" s="11"/>
      <c r="O85" s="11"/>
      <c r="P85" s="402"/>
      <c r="Q85" s="11"/>
      <c r="R85" s="11"/>
      <c r="T85" s="11"/>
      <c r="U85" s="76"/>
      <c r="V85" s="76"/>
    </row>
    <row r="86" spans="1:22" ht="15.75" hidden="1" customHeight="1">
      <c r="G86" s="11"/>
      <c r="K86" s="11"/>
      <c r="L86" s="301"/>
      <c r="O86" s="11"/>
      <c r="P86" s="400"/>
    </row>
    <row r="87" spans="1:22" ht="15.75" hidden="1" customHeight="1">
      <c r="G87" s="11"/>
      <c r="K87" s="11"/>
      <c r="L87" s="301"/>
      <c r="O87" s="11"/>
      <c r="P87" s="400"/>
    </row>
    <row r="88" spans="1:22" ht="15.75" hidden="1" customHeight="1">
      <c r="B88" s="11" t="s">
        <v>68</v>
      </c>
      <c r="C88" s="36">
        <v>-1645</v>
      </c>
      <c r="D88" s="36"/>
      <c r="E88" s="37">
        <f>D88/C88-1</f>
        <v>-1</v>
      </c>
      <c r="F88" s="11"/>
      <c r="G88" s="11"/>
      <c r="H88" s="36"/>
      <c r="I88" s="37" t="e">
        <f>H88/G88-1</f>
        <v>#DIV/0!</v>
      </c>
      <c r="J88" s="11"/>
      <c r="K88" s="11"/>
      <c r="L88" s="301"/>
      <c r="M88" s="37"/>
      <c r="N88" s="11"/>
      <c r="O88" s="11"/>
      <c r="P88" s="402"/>
      <c r="Q88" s="37"/>
      <c r="R88" s="11"/>
      <c r="S88" s="11">
        <v>-1645</v>
      </c>
      <c r="T88" s="36"/>
      <c r="U88" s="77"/>
      <c r="V88" s="76"/>
    </row>
    <row r="89" spans="1:22" ht="15.75" hidden="1" customHeight="1">
      <c r="G89" s="11"/>
      <c r="K89" s="11"/>
      <c r="L89" s="301"/>
      <c r="O89" s="11"/>
      <c r="P89" s="400"/>
    </row>
    <row r="90" spans="1:22" ht="15.75" hidden="1" customHeight="1">
      <c r="G90" s="11"/>
      <c r="K90" s="11"/>
      <c r="L90" s="301"/>
      <c r="O90" s="11"/>
      <c r="P90" s="400"/>
    </row>
    <row r="91" spans="1:22" ht="15.75" hidden="1" customHeight="1">
      <c r="G91" s="11"/>
      <c r="K91" s="11"/>
      <c r="L91" s="301"/>
      <c r="O91" s="11"/>
      <c r="P91" s="400"/>
    </row>
    <row r="92" spans="1:22" ht="15.75" hidden="1" customHeight="1">
      <c r="G92" s="11"/>
      <c r="K92" s="11"/>
      <c r="L92" s="301"/>
      <c r="O92" s="11"/>
      <c r="P92" s="400"/>
    </row>
    <row r="93" spans="1:22" ht="15.75" hidden="1" customHeight="1">
      <c r="G93" s="11"/>
      <c r="K93" s="11"/>
      <c r="L93" s="301"/>
      <c r="O93" s="11"/>
      <c r="P93" s="400"/>
    </row>
    <row r="94" spans="1:22" ht="15.75" hidden="1" customHeight="1">
      <c r="G94" s="11"/>
      <c r="K94" s="11"/>
      <c r="L94" s="301"/>
      <c r="O94" s="11"/>
      <c r="P94" s="400"/>
    </row>
    <row r="95" spans="1:22" ht="15.75" customHeight="1">
      <c r="G95" s="11"/>
      <c r="K95" s="11"/>
      <c r="L95" s="301"/>
      <c r="O95" s="11"/>
      <c r="P95" s="400"/>
      <c r="T95" s="46"/>
    </row>
    <row r="96" spans="1:22" ht="15.75" customHeight="1">
      <c r="C96" s="302"/>
      <c r="D96" s="303"/>
      <c r="E96" s="304"/>
      <c r="F96" s="304"/>
      <c r="G96" s="303"/>
      <c r="H96" s="396"/>
      <c r="I96" s="304"/>
      <c r="J96" s="304"/>
      <c r="K96" s="303"/>
      <c r="L96" s="301"/>
      <c r="M96" s="304"/>
      <c r="N96" s="304"/>
      <c r="O96" s="303"/>
      <c r="P96" s="303"/>
      <c r="Q96" s="304"/>
      <c r="R96" s="304"/>
      <c r="S96" s="46"/>
      <c r="T96" s="46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R53"/>
  <sheetViews>
    <sheetView zoomScale="99" zoomScaleNormal="99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P13" sqref="P13"/>
    </sheetView>
  </sheetViews>
  <sheetFormatPr defaultColWidth="9.08984375" defaultRowHeight="14.5"/>
  <cols>
    <col min="1" max="1" width="43.81640625" style="4" bestFit="1" customWidth="1"/>
    <col min="2" max="2" width="11.453125" style="4" customWidth="1"/>
    <col min="3" max="3" width="10.90625" style="4" customWidth="1"/>
    <col min="4" max="4" width="11.90625" style="4" customWidth="1"/>
    <col min="5" max="5" width="11" style="4" customWidth="1"/>
    <col min="6" max="6" width="11.08984375" style="4" customWidth="1"/>
    <col min="7" max="7" width="11.453125" style="4" customWidth="1"/>
    <col min="8" max="9" width="11.08984375" style="4" customWidth="1"/>
    <col min="10" max="10" width="11.54296875" style="4" customWidth="1"/>
    <col min="11" max="12" width="11.08984375" style="4" customWidth="1"/>
    <col min="13" max="13" width="12.6328125" customWidth="1"/>
    <col min="14" max="14" width="12.08984375" customWidth="1"/>
    <col min="15" max="16" width="11.36328125" customWidth="1"/>
    <col min="17" max="17" width="11.453125" bestFit="1" customWidth="1"/>
  </cols>
  <sheetData>
    <row r="1" spans="1:18" ht="119" customHeight="1" thickBot="1"/>
    <row r="2" spans="1:18" ht="15.75" customHeight="1" thickBot="1">
      <c r="A2" s="320" t="s">
        <v>319</v>
      </c>
      <c r="B2" s="352">
        <v>2011</v>
      </c>
      <c r="C2" s="352">
        <v>2012</v>
      </c>
      <c r="D2" s="352">
        <v>2013</v>
      </c>
      <c r="E2" s="352">
        <v>2014</v>
      </c>
      <c r="F2" s="352">
        <v>2015</v>
      </c>
      <c r="G2" s="352">
        <v>2016</v>
      </c>
      <c r="H2" s="352">
        <v>2017</v>
      </c>
      <c r="I2" s="352">
        <v>2018</v>
      </c>
      <c r="J2" s="352">
        <v>2019</v>
      </c>
      <c r="K2" s="352">
        <v>2020</v>
      </c>
      <c r="L2" s="352">
        <v>2021</v>
      </c>
      <c r="M2" s="1">
        <v>2022</v>
      </c>
      <c r="N2" s="1">
        <v>2023</v>
      </c>
      <c r="O2" s="1">
        <v>2024</v>
      </c>
      <c r="P2" s="1">
        <v>2025</v>
      </c>
    </row>
    <row r="3" spans="1:18" ht="15.75" customHeight="1">
      <c r="A3" s="322" t="s">
        <v>463</v>
      </c>
      <c r="B3" s="353">
        <v>319857</v>
      </c>
      <c r="C3" s="354">
        <v>377133</v>
      </c>
      <c r="D3" s="354">
        <v>522864.00000000006</v>
      </c>
      <c r="E3" s="355">
        <v>501556</v>
      </c>
      <c r="F3" s="355">
        <v>491434</v>
      </c>
      <c r="G3" s="356">
        <v>443621.99999999994</v>
      </c>
      <c r="H3" s="355">
        <v>412361</v>
      </c>
      <c r="I3" s="355">
        <v>363499.73664000002</v>
      </c>
      <c r="J3" s="355">
        <v>378366.44312000007</v>
      </c>
      <c r="K3" s="355">
        <v>285105.17800999974</v>
      </c>
      <c r="L3" s="376">
        <v>350920.30887999985</v>
      </c>
      <c r="M3" s="376">
        <v>400492.21608000016</v>
      </c>
      <c r="N3" s="376">
        <v>395830.8989400001</v>
      </c>
      <c r="O3" s="376">
        <v>464305.99811000022</v>
      </c>
      <c r="P3" s="376">
        <v>562838.6174499999</v>
      </c>
      <c r="Q3" s="294"/>
      <c r="R3" s="294"/>
    </row>
    <row r="4" spans="1:18" ht="15.75" customHeight="1">
      <c r="A4" s="324" t="s">
        <v>464</v>
      </c>
      <c r="B4" s="357">
        <v>-11633</v>
      </c>
      <c r="C4" s="357">
        <v>-9958.2513770875557</v>
      </c>
      <c r="D4" s="357">
        <v>-14437.999999999904</v>
      </c>
      <c r="E4" s="22">
        <v>-17795</v>
      </c>
      <c r="F4" s="22">
        <v>-22046</v>
      </c>
      <c r="G4" s="357">
        <v>-19637.999999999996</v>
      </c>
      <c r="H4" s="22">
        <v>-12442.999999999998</v>
      </c>
      <c r="I4" s="22">
        <v>-7305</v>
      </c>
      <c r="J4" s="22">
        <v>-7481.9999999999991</v>
      </c>
      <c r="K4" s="22">
        <v>-4070.1846299999902</v>
      </c>
      <c r="L4" s="22">
        <v>-5877.2233299999998</v>
      </c>
      <c r="M4" s="22">
        <v>-14678.83246</v>
      </c>
      <c r="N4" s="22">
        <v>-15562.611319999996</v>
      </c>
      <c r="O4" s="22">
        <v>-15601.996949999961</v>
      </c>
      <c r="P4" s="22">
        <v>-25007.17484</v>
      </c>
      <c r="Q4" s="294"/>
      <c r="R4" s="294"/>
    </row>
    <row r="5" spans="1:18" ht="15.75" customHeight="1">
      <c r="A5" s="323" t="s">
        <v>465</v>
      </c>
      <c r="B5" s="356">
        <v>-47935</v>
      </c>
      <c r="C5" s="356">
        <v>-55935.611050000007</v>
      </c>
      <c r="D5" s="356">
        <v>-76839</v>
      </c>
      <c r="E5" s="355">
        <v>-72963</v>
      </c>
      <c r="F5" s="355">
        <v>-75586</v>
      </c>
      <c r="G5" s="356">
        <v>-65951.316800000001</v>
      </c>
      <c r="H5" s="355">
        <v>-61605</v>
      </c>
      <c r="I5" s="355">
        <v>-51514.476329999998</v>
      </c>
      <c r="J5" s="355">
        <v>-55731.880619999996</v>
      </c>
      <c r="K5" s="355">
        <v>-36955.979920000027</v>
      </c>
      <c r="L5" s="355">
        <v>-31144.227900000031</v>
      </c>
      <c r="M5" s="355">
        <v>-35852.520007156549</v>
      </c>
      <c r="N5" s="355">
        <v>-39207.958490926401</v>
      </c>
      <c r="O5" s="355">
        <v>-49932.785479999962</v>
      </c>
      <c r="P5" s="355">
        <v>-61829.033099999782</v>
      </c>
      <c r="Q5" s="294"/>
      <c r="R5" s="294"/>
    </row>
    <row r="6" spans="1:18" ht="15.75" customHeight="1">
      <c r="A6" s="324" t="s">
        <v>466</v>
      </c>
      <c r="B6" s="357">
        <v>1741</v>
      </c>
      <c r="C6" s="358">
        <v>1476</v>
      </c>
      <c r="D6" s="358">
        <v>2108.8207414252761</v>
      </c>
      <c r="E6" s="22">
        <v>2635</v>
      </c>
      <c r="F6" s="22">
        <v>3491</v>
      </c>
      <c r="G6" s="358">
        <v>2840.2909403039739</v>
      </c>
      <c r="H6" s="22">
        <v>1763</v>
      </c>
      <c r="I6" s="22">
        <v>1015.9153952451331</v>
      </c>
      <c r="J6" s="22">
        <v>1073.7133717070067</v>
      </c>
      <c r="K6" s="22">
        <v>528.36904886796685</v>
      </c>
      <c r="L6" s="22">
        <v>502.82026416959491</v>
      </c>
      <c r="M6" s="22">
        <v>1270.7352007543432</v>
      </c>
      <c r="N6" s="22">
        <v>1286.468590999018</v>
      </c>
      <c r="O6" s="22">
        <v>1508.7962626366023</v>
      </c>
      <c r="P6" s="22">
        <v>2420.1758648556793</v>
      </c>
      <c r="Q6" s="294"/>
      <c r="R6" s="294"/>
    </row>
    <row r="7" spans="1:18" ht="15.75" customHeight="1">
      <c r="A7" s="323"/>
      <c r="B7" s="359"/>
      <c r="C7" s="358"/>
      <c r="D7" s="358"/>
      <c r="E7" s="360"/>
      <c r="F7" s="360"/>
      <c r="G7" s="358"/>
      <c r="H7" s="360"/>
      <c r="I7" s="360"/>
      <c r="J7" s="25"/>
      <c r="K7" s="25"/>
      <c r="L7" s="25"/>
      <c r="M7" s="23"/>
      <c r="N7" s="23"/>
      <c r="O7" s="23"/>
      <c r="P7" s="23"/>
      <c r="Q7" s="294"/>
      <c r="R7" s="294"/>
    </row>
    <row r="8" spans="1:18" ht="15.75" customHeight="1">
      <c r="A8" s="307" t="s">
        <v>467</v>
      </c>
      <c r="B8" s="361">
        <f>SUM(B3:B6)</f>
        <v>262030</v>
      </c>
      <c r="C8" s="361">
        <f t="shared" ref="C8:K8" si="0">SUM(C3:C6)</f>
        <v>312715.13757291244</v>
      </c>
      <c r="D8" s="361">
        <f t="shared" si="0"/>
        <v>433695.82074142544</v>
      </c>
      <c r="E8" s="361">
        <f t="shared" si="0"/>
        <v>413433</v>
      </c>
      <c r="F8" s="361">
        <f t="shared" si="0"/>
        <v>397293</v>
      </c>
      <c r="G8" s="361">
        <f t="shared" si="0"/>
        <v>360872.97414030397</v>
      </c>
      <c r="H8" s="361">
        <f t="shared" si="0"/>
        <v>340076</v>
      </c>
      <c r="I8" s="361">
        <f t="shared" si="0"/>
        <v>305696.17570524517</v>
      </c>
      <c r="J8" s="361">
        <f t="shared" si="0"/>
        <v>316226.27587170707</v>
      </c>
      <c r="K8" s="361">
        <f t="shared" si="0"/>
        <v>244607.38250886771</v>
      </c>
      <c r="L8" s="361">
        <v>314401.67791416938</v>
      </c>
      <c r="M8" s="8">
        <v>351231.59881359799</v>
      </c>
      <c r="N8" s="8">
        <v>342346.79772007267</v>
      </c>
      <c r="O8" s="8">
        <v>400280.01194263692</v>
      </c>
      <c r="P8" s="8">
        <v>478422.58537485584</v>
      </c>
      <c r="Q8" s="294"/>
      <c r="R8" s="294"/>
    </row>
    <row r="9" spans="1:18" ht="15.75" customHeight="1">
      <c r="A9" s="323"/>
      <c r="B9" s="358"/>
      <c r="C9" s="358"/>
      <c r="D9" s="358"/>
      <c r="E9" s="360"/>
      <c r="F9" s="360"/>
      <c r="G9" s="358"/>
      <c r="H9" s="22"/>
      <c r="I9" s="22"/>
      <c r="J9" s="22"/>
      <c r="K9" s="22"/>
      <c r="L9" s="22"/>
      <c r="M9" s="22"/>
      <c r="N9" s="22"/>
      <c r="O9" s="22"/>
      <c r="P9" s="22">
        <v>-216758</v>
      </c>
      <c r="Q9" s="294"/>
      <c r="R9" s="294"/>
    </row>
    <row r="10" spans="1:18" ht="15.75" customHeight="1">
      <c r="A10" s="307" t="s">
        <v>2</v>
      </c>
      <c r="B10" s="362">
        <v>166166</v>
      </c>
      <c r="C10" s="362">
        <v>187928</v>
      </c>
      <c r="D10" s="362">
        <v>250774</v>
      </c>
      <c r="E10" s="8">
        <v>229802</v>
      </c>
      <c r="F10" s="8">
        <v>206778</v>
      </c>
      <c r="G10" s="362">
        <v>169579.97414030397</v>
      </c>
      <c r="H10" s="8">
        <v>155073</v>
      </c>
      <c r="I10" s="8">
        <v>146658.17570524517</v>
      </c>
      <c r="J10" s="8">
        <v>109243</v>
      </c>
      <c r="K10" s="8">
        <v>112399</v>
      </c>
      <c r="L10" s="8">
        <v>165175.67791416938</v>
      </c>
      <c r="M10" s="8">
        <v>190550.0363354219</v>
      </c>
      <c r="N10" s="8">
        <v>189380.19772007267</v>
      </c>
      <c r="O10" s="8">
        <v>218850.22727103916</v>
      </c>
      <c r="P10" s="8">
        <v>261664.58537485584</v>
      </c>
      <c r="Q10" s="294"/>
      <c r="R10" s="294"/>
    </row>
    <row r="11" spans="1:18" ht="15.75" customHeight="1">
      <c r="A11" s="309" t="s">
        <v>4</v>
      </c>
      <c r="B11" s="9">
        <f>B10/B8</f>
        <v>0.63414876159218414</v>
      </c>
      <c r="C11" s="9">
        <f t="shared" ref="C11:K11" si="1">C10/C8</f>
        <v>0.60095587779527571</v>
      </c>
      <c r="D11" s="9">
        <f t="shared" si="1"/>
        <v>0.57822553966807633</v>
      </c>
      <c r="E11" s="9">
        <f t="shared" si="1"/>
        <v>0.55583855183306607</v>
      </c>
      <c r="F11" s="9">
        <f t="shared" si="1"/>
        <v>0.52046726219691763</v>
      </c>
      <c r="G11" s="9">
        <f t="shared" si="1"/>
        <v>0.46991597124802392</v>
      </c>
      <c r="H11" s="9">
        <f t="shared" si="1"/>
        <v>0.4559951305002411</v>
      </c>
      <c r="I11" s="9">
        <f t="shared" si="1"/>
        <v>0.47975142432483103</v>
      </c>
      <c r="J11" s="9">
        <f t="shared" si="1"/>
        <v>0.3454583263166906</v>
      </c>
      <c r="K11" s="9">
        <f t="shared" si="1"/>
        <v>0.45950779918069407</v>
      </c>
      <c r="L11" s="9">
        <v>0.52536512848783778</v>
      </c>
      <c r="M11" s="9">
        <v>0.54251962801487186</v>
      </c>
      <c r="N11" s="9">
        <v>0.55318232558706015</v>
      </c>
      <c r="O11" s="9">
        <v>0.54674283187141004</v>
      </c>
      <c r="P11" s="9">
        <v>0.54693192456588402</v>
      </c>
      <c r="Q11" s="294"/>
      <c r="R11" s="294"/>
    </row>
    <row r="12" spans="1:18" ht="15.75" customHeight="1">
      <c r="A12" s="323"/>
      <c r="B12" s="358"/>
      <c r="C12" s="363"/>
      <c r="D12" s="363"/>
      <c r="E12" s="364"/>
      <c r="F12" s="39"/>
      <c r="G12" s="363"/>
      <c r="H12" s="364"/>
      <c r="I12" s="364"/>
      <c r="J12" s="363"/>
      <c r="K12" s="363"/>
      <c r="L12" s="363"/>
      <c r="M12" s="23"/>
      <c r="N12" s="23"/>
      <c r="O12" s="23"/>
      <c r="P12" s="23"/>
      <c r="Q12" s="294"/>
      <c r="R12" s="294"/>
    </row>
    <row r="13" spans="1:18" ht="15.75" customHeight="1">
      <c r="A13" s="307" t="s">
        <v>52</v>
      </c>
      <c r="B13" s="362">
        <v>-69788</v>
      </c>
      <c r="C13" s="362">
        <v>-87861</v>
      </c>
      <c r="D13" s="362">
        <v>-132846</v>
      </c>
      <c r="E13" s="8">
        <v>-118936</v>
      </c>
      <c r="F13" s="8">
        <v>-129581</v>
      </c>
      <c r="G13" s="362">
        <v>-124091</v>
      </c>
      <c r="H13" s="8">
        <v>-132676</v>
      </c>
      <c r="I13" s="8">
        <v>-95945</v>
      </c>
      <c r="J13" s="8">
        <v>-103839</v>
      </c>
      <c r="K13" s="8">
        <v>-63578</v>
      </c>
      <c r="L13" s="8">
        <v>-69425</v>
      </c>
      <c r="M13" s="8">
        <v>-84225</v>
      </c>
      <c r="N13" s="8">
        <v>-88623</v>
      </c>
      <c r="O13" s="8">
        <v>-105589.26373000005</v>
      </c>
      <c r="P13" s="8">
        <v>-125961</v>
      </c>
      <c r="Q13" s="294"/>
      <c r="R13" s="294"/>
    </row>
    <row r="14" spans="1:18" ht="15.75" customHeight="1">
      <c r="A14" s="307" t="s">
        <v>468</v>
      </c>
      <c r="B14" s="362"/>
      <c r="C14" s="362"/>
      <c r="D14" s="362"/>
      <c r="E14" s="8"/>
      <c r="F14" s="8"/>
      <c r="G14" s="8"/>
      <c r="H14" s="8">
        <v>-0.39013632246909513</v>
      </c>
      <c r="I14" s="8">
        <v>-13287</v>
      </c>
      <c r="J14" s="8">
        <v>-3828</v>
      </c>
      <c r="K14" s="8">
        <v>-14704</v>
      </c>
      <c r="L14" s="8">
        <v>-784</v>
      </c>
      <c r="M14" s="8">
        <v>0</v>
      </c>
      <c r="N14" s="8">
        <v>0</v>
      </c>
      <c r="O14" s="8">
        <v>0</v>
      </c>
      <c r="P14" s="8">
        <v>0</v>
      </c>
      <c r="Q14" s="294"/>
      <c r="R14" s="294"/>
    </row>
    <row r="15" spans="1:18" ht="179.4" hidden="1" customHeight="1">
      <c r="A15" s="307" t="s">
        <v>469</v>
      </c>
      <c r="B15" s="362"/>
      <c r="C15" s="362"/>
      <c r="D15" s="362"/>
      <c r="E15" s="8"/>
      <c r="F15" s="8"/>
      <c r="G15" s="8"/>
      <c r="H15" s="8"/>
      <c r="I15" s="8">
        <v>-4310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294"/>
      <c r="R15" s="294"/>
    </row>
    <row r="16" spans="1:18">
      <c r="A16" s="310" t="s">
        <v>470</v>
      </c>
      <c r="B16" s="365">
        <v>-0.2663359157348395</v>
      </c>
      <c r="C16" s="365">
        <v>-0.28096177461033334</v>
      </c>
      <c r="D16" s="365">
        <v>-0.30631145989115816</v>
      </c>
      <c r="E16" s="365">
        <v>-0.28767901933324136</v>
      </c>
      <c r="F16" s="365">
        <v>-0.32615978635415172</v>
      </c>
      <c r="G16" s="365">
        <v>0.34386337823057539</v>
      </c>
      <c r="H16" s="365">
        <f>H13/H8</f>
        <v>-0.39013632246909513</v>
      </c>
      <c r="I16" s="365">
        <v>-0.37142106779077982</v>
      </c>
      <c r="J16" s="365">
        <v>-0.34047592695074708</v>
      </c>
      <c r="K16" s="365">
        <v>-0.32003172435784749</v>
      </c>
      <c r="L16" s="365">
        <v>-0.22330987692491522</v>
      </c>
      <c r="M16" s="10">
        <v>-0.23979903939309011</v>
      </c>
      <c r="N16" s="10">
        <v>-0.25886907834454037</v>
      </c>
      <c r="O16" s="10">
        <v>-0.26378849949952476</v>
      </c>
      <c r="P16" s="10">
        <v>-0.26328397498480649</v>
      </c>
      <c r="Q16" s="294"/>
      <c r="R16" s="294"/>
    </row>
    <row r="17" spans="1:18">
      <c r="A17" s="323"/>
      <c r="B17" s="358"/>
      <c r="C17" s="358"/>
      <c r="D17" s="358"/>
      <c r="E17" s="360"/>
      <c r="F17" s="40"/>
      <c r="G17" s="24"/>
      <c r="H17" s="360"/>
      <c r="I17" s="360"/>
      <c r="J17" s="24"/>
      <c r="K17" s="24"/>
      <c r="L17" s="24"/>
      <c r="M17" s="23"/>
      <c r="N17" s="22"/>
      <c r="O17" s="22"/>
      <c r="P17" s="22"/>
      <c r="Q17" s="294"/>
      <c r="R17" s="294"/>
    </row>
    <row r="18" spans="1:18">
      <c r="A18" s="307" t="s">
        <v>471</v>
      </c>
      <c r="B18" s="362">
        <v>-24415</v>
      </c>
      <c r="C18" s="362">
        <v>-27788</v>
      </c>
      <c r="D18" s="362">
        <v>-40504</v>
      </c>
      <c r="E18" s="8">
        <v>-33902</v>
      </c>
      <c r="F18" s="8">
        <v>-36416</v>
      </c>
      <c r="G18" s="362">
        <v>-35735</v>
      </c>
      <c r="H18" s="8">
        <v>-36213</v>
      </c>
      <c r="I18" s="8">
        <v>-35189</v>
      </c>
      <c r="J18" s="8">
        <v>-39589</v>
      </c>
      <c r="K18" s="8">
        <v>-33850</v>
      </c>
      <c r="L18" s="8">
        <v>-37499</v>
      </c>
      <c r="M18" s="8">
        <v>-38493</v>
      </c>
      <c r="N18" s="8">
        <v>-41299</v>
      </c>
      <c r="O18" s="8">
        <v>-40492.871306779016</v>
      </c>
      <c r="P18" s="8">
        <v>-41102</v>
      </c>
      <c r="Q18" s="294"/>
      <c r="R18" s="294"/>
    </row>
    <row r="19" spans="1:18">
      <c r="A19" s="310" t="s">
        <v>470</v>
      </c>
      <c r="B19" s="10">
        <v>-9.317635385261229E-2</v>
      </c>
      <c r="C19" s="10">
        <v>-8.88604249083432E-2</v>
      </c>
      <c r="D19" s="10">
        <v>-9.3392645404690167E-2</v>
      </c>
      <c r="E19" s="10">
        <v>-8.2001194873171701E-2</v>
      </c>
      <c r="F19" s="10">
        <v>-9.1660311155746521E-2</v>
      </c>
      <c r="G19" s="10">
        <v>9.9023763375825899E-2</v>
      </c>
      <c r="H19" s="10">
        <v>-0.10648502099530693</v>
      </c>
      <c r="I19" s="10">
        <v>-0.11511102459433294</v>
      </c>
      <c r="J19" s="10">
        <v>-0.12519250533639023</v>
      </c>
      <c r="K19" s="10">
        <v>-0.13838524653832474</v>
      </c>
      <c r="L19" s="10">
        <v>-0.11927099196409856</v>
      </c>
      <c r="M19" s="10">
        <v>-0.10959435349787137</v>
      </c>
      <c r="N19" s="10">
        <v>-0.12063498264052415</v>
      </c>
      <c r="O19" s="10">
        <v>-0.10116136229300889</v>
      </c>
      <c r="P19" s="10">
        <v>-8.5911495937834065E-2</v>
      </c>
      <c r="Q19" s="294"/>
      <c r="R19" s="294"/>
    </row>
    <row r="20" spans="1:18">
      <c r="A20" s="323"/>
      <c r="B20" s="358"/>
      <c r="C20" s="358"/>
      <c r="D20" s="358"/>
      <c r="E20" s="360"/>
      <c r="F20" s="40"/>
      <c r="G20" s="358"/>
      <c r="H20" s="360"/>
      <c r="I20" s="360"/>
      <c r="J20" s="360"/>
      <c r="K20" s="360"/>
      <c r="L20" s="360"/>
      <c r="M20" s="23"/>
      <c r="N20" s="22"/>
      <c r="O20" s="22"/>
      <c r="P20" s="22"/>
      <c r="Q20" s="294"/>
      <c r="R20" s="294"/>
    </row>
    <row r="21" spans="1:18">
      <c r="A21" s="307" t="s">
        <v>472</v>
      </c>
      <c r="B21" s="362">
        <v>26537</v>
      </c>
      <c r="C21" s="362">
        <v>-7520</v>
      </c>
      <c r="D21" s="362">
        <v>-28934</v>
      </c>
      <c r="E21" s="8">
        <v>-11784</v>
      </c>
      <c r="F21" s="8">
        <v>-9126</v>
      </c>
      <c r="G21" s="362">
        <v>-1209</v>
      </c>
      <c r="H21" s="8">
        <v>1043</v>
      </c>
      <c r="I21" s="8">
        <v>-829</v>
      </c>
      <c r="J21" s="8">
        <v>-88632</v>
      </c>
      <c r="K21" s="8">
        <v>-9883</v>
      </c>
      <c r="L21" s="8">
        <v>-6819</v>
      </c>
      <c r="M21" s="8">
        <v>-12231</v>
      </c>
      <c r="N21" s="8">
        <v>2257</v>
      </c>
      <c r="O21" s="8">
        <v>-6001.1664099999998</v>
      </c>
      <c r="P21" s="8">
        <v>-19754</v>
      </c>
      <c r="Q21" s="294"/>
      <c r="R21" s="294"/>
    </row>
    <row r="22" spans="1:18">
      <c r="A22" s="323"/>
      <c r="B22" s="358"/>
      <c r="C22" s="358"/>
      <c r="D22" s="358"/>
      <c r="E22" s="360"/>
      <c r="F22" s="38"/>
      <c r="G22" s="358"/>
      <c r="H22" s="360"/>
      <c r="I22" s="360"/>
      <c r="J22" s="360"/>
      <c r="K22" s="360"/>
      <c r="L22" s="360"/>
      <c r="M22" s="23"/>
      <c r="N22" s="22"/>
      <c r="O22" s="22"/>
      <c r="P22" s="22"/>
      <c r="Q22" s="294"/>
      <c r="R22" s="294"/>
    </row>
    <row r="23" spans="1:18">
      <c r="A23" s="323" t="s">
        <v>473</v>
      </c>
      <c r="B23" s="366">
        <f>B10+B13+B18+B21+B14+B15</f>
        <v>98500</v>
      </c>
      <c r="C23" s="366">
        <f t="shared" ref="C23:K23" si="2">C10+C13+C18+C21+C14+C15</f>
        <v>64759</v>
      </c>
      <c r="D23" s="366">
        <f t="shared" si="2"/>
        <v>48490</v>
      </c>
      <c r="E23" s="366">
        <f t="shared" si="2"/>
        <v>65180</v>
      </c>
      <c r="F23" s="366">
        <f t="shared" si="2"/>
        <v>31655</v>
      </c>
      <c r="G23" s="366">
        <f t="shared" si="2"/>
        <v>8544.9741403039661</v>
      </c>
      <c r="H23" s="366">
        <f t="shared" si="2"/>
        <v>-12773.390136322469</v>
      </c>
      <c r="I23" s="366">
        <f t="shared" si="2"/>
        <v>-2901.8242947548279</v>
      </c>
      <c r="J23" s="366">
        <f t="shared" si="2"/>
        <v>-126645</v>
      </c>
      <c r="K23" s="366">
        <f t="shared" si="2"/>
        <v>-9616</v>
      </c>
      <c r="L23" s="366">
        <v>50648.677914169384</v>
      </c>
      <c r="M23" s="22">
        <v>55601.036335421901</v>
      </c>
      <c r="N23" s="22">
        <v>61715.197720072669</v>
      </c>
      <c r="O23" s="22">
        <v>66766.925824260077</v>
      </c>
      <c r="P23" s="22">
        <v>74847.585374855844</v>
      </c>
      <c r="Q23" s="294"/>
      <c r="R23" s="294"/>
    </row>
    <row r="24" spans="1:18">
      <c r="A24" s="323"/>
      <c r="B24" s="358"/>
      <c r="C24" s="358"/>
      <c r="D24" s="358"/>
      <c r="E24" s="360"/>
      <c r="F24" s="41"/>
      <c r="G24" s="358"/>
      <c r="H24" s="360"/>
      <c r="I24" s="360"/>
      <c r="J24" s="360"/>
      <c r="K24" s="360"/>
      <c r="L24" s="360"/>
      <c r="M24" s="23"/>
      <c r="N24" s="22"/>
      <c r="O24" s="22"/>
      <c r="P24" s="22"/>
      <c r="Q24" s="294"/>
      <c r="R24" s="294"/>
    </row>
    <row r="25" spans="1:18">
      <c r="A25" s="308" t="s">
        <v>474</v>
      </c>
      <c r="B25" s="362">
        <v>-9288</v>
      </c>
      <c r="C25" s="362">
        <v>-3374</v>
      </c>
      <c r="D25" s="362">
        <v>-29310</v>
      </c>
      <c r="E25" s="8">
        <v>-40566</v>
      </c>
      <c r="F25" s="8">
        <v>-58084</v>
      </c>
      <c r="G25" s="362">
        <v>-85736</v>
      </c>
      <c r="H25" s="8">
        <v>-45134</v>
      </c>
      <c r="I25" s="8">
        <v>-78624</v>
      </c>
      <c r="J25" s="8">
        <v>-45519</v>
      </c>
      <c r="K25" s="8">
        <v>-78936</v>
      </c>
      <c r="L25" s="8">
        <v>-27277</v>
      </c>
      <c r="M25" s="8">
        <v>-37123</v>
      </c>
      <c r="N25" s="8">
        <v>-27125</v>
      </c>
      <c r="O25" s="8">
        <v>-25067.360720000001</v>
      </c>
      <c r="P25" s="8">
        <v>-33998.283589999992</v>
      </c>
      <c r="Q25" s="294"/>
      <c r="R25" s="294"/>
    </row>
    <row r="26" spans="1:18">
      <c r="A26" s="308" t="s">
        <v>475</v>
      </c>
      <c r="B26" s="362">
        <v>16592</v>
      </c>
      <c r="C26" s="362">
        <v>20034</v>
      </c>
      <c r="D26" s="362">
        <v>23764</v>
      </c>
      <c r="E26" s="8">
        <v>30667</v>
      </c>
      <c r="F26" s="8">
        <v>57485</v>
      </c>
      <c r="G26" s="362">
        <v>79046</v>
      </c>
      <c r="H26" s="8">
        <v>42635</v>
      </c>
      <c r="I26" s="8">
        <v>82873</v>
      </c>
      <c r="J26" s="8">
        <v>40336</v>
      </c>
      <c r="K26" s="8">
        <v>54628</v>
      </c>
      <c r="L26" s="8">
        <v>12246</v>
      </c>
      <c r="M26" s="8">
        <v>27152</v>
      </c>
      <c r="N26" s="8">
        <v>30641</v>
      </c>
      <c r="O26" s="8">
        <v>43403.342913635977</v>
      </c>
      <c r="P26" s="8">
        <v>38973.360893883313</v>
      </c>
      <c r="Q26" s="294"/>
      <c r="R26" s="294"/>
    </row>
    <row r="27" spans="1:18">
      <c r="A27" s="307" t="s">
        <v>476</v>
      </c>
      <c r="B27" s="362">
        <f>SUM(B25:B26)</f>
        <v>7304</v>
      </c>
      <c r="C27" s="362">
        <f t="shared" ref="C27:K27" si="3">SUM(C25:C26)</f>
        <v>16660</v>
      </c>
      <c r="D27" s="362">
        <f t="shared" si="3"/>
        <v>-5546</v>
      </c>
      <c r="E27" s="362">
        <f t="shared" si="3"/>
        <v>-9899</v>
      </c>
      <c r="F27" s="362">
        <f t="shared" si="3"/>
        <v>-599</v>
      </c>
      <c r="G27" s="362">
        <f t="shared" si="3"/>
        <v>-6690</v>
      </c>
      <c r="H27" s="362">
        <f t="shared" si="3"/>
        <v>-2499</v>
      </c>
      <c r="I27" s="362">
        <f t="shared" si="3"/>
        <v>4249</v>
      </c>
      <c r="J27" s="362">
        <f t="shared" si="3"/>
        <v>-5183</v>
      </c>
      <c r="K27" s="362">
        <f t="shared" si="3"/>
        <v>-24308</v>
      </c>
      <c r="L27" s="362">
        <v>-15031</v>
      </c>
      <c r="M27" s="8">
        <v>-9971</v>
      </c>
      <c r="N27" s="8">
        <v>3516</v>
      </c>
      <c r="O27" s="8">
        <v>18335.982193635977</v>
      </c>
      <c r="P27" s="8">
        <v>4975.2789148652791</v>
      </c>
      <c r="Q27" s="294"/>
      <c r="R27" s="294"/>
    </row>
    <row r="28" spans="1:18">
      <c r="A28" s="323"/>
      <c r="B28" s="358"/>
      <c r="C28" s="358"/>
      <c r="D28" s="358"/>
      <c r="E28" s="367"/>
      <c r="F28" s="38"/>
      <c r="G28" s="358"/>
      <c r="H28" s="367"/>
      <c r="I28" s="367"/>
      <c r="J28" s="367"/>
      <c r="K28" s="367"/>
      <c r="L28" s="367"/>
      <c r="M28" s="83"/>
      <c r="N28" s="83"/>
      <c r="O28" s="83"/>
      <c r="P28" s="83"/>
      <c r="Q28" s="294"/>
      <c r="R28" s="294"/>
    </row>
    <row r="29" spans="1:18">
      <c r="A29" s="323" t="s">
        <v>477</v>
      </c>
      <c r="B29" s="358">
        <f>B23+B27</f>
        <v>105804</v>
      </c>
      <c r="C29" s="358">
        <f t="shared" ref="C29:K29" si="4">C23+C27</f>
        <v>81419</v>
      </c>
      <c r="D29" s="358">
        <f t="shared" si="4"/>
        <v>42944</v>
      </c>
      <c r="E29" s="358">
        <f t="shared" si="4"/>
        <v>55281</v>
      </c>
      <c r="F29" s="358">
        <f t="shared" si="4"/>
        <v>31056</v>
      </c>
      <c r="G29" s="358">
        <f t="shared" si="4"/>
        <v>1854.9741403039661</v>
      </c>
      <c r="H29" s="358">
        <f t="shared" si="4"/>
        <v>-15272.390136322469</v>
      </c>
      <c r="I29" s="358">
        <f t="shared" si="4"/>
        <v>1347.1757052451721</v>
      </c>
      <c r="J29" s="358">
        <f t="shared" si="4"/>
        <v>-131828</v>
      </c>
      <c r="K29" s="358">
        <f t="shared" si="4"/>
        <v>-33924</v>
      </c>
      <c r="L29" s="358">
        <v>35617.677914169384</v>
      </c>
      <c r="M29" s="22">
        <v>45630.036335421901</v>
      </c>
      <c r="N29" s="22">
        <v>65231.197720072669</v>
      </c>
      <c r="O29" s="22">
        <v>85102.908017896058</v>
      </c>
      <c r="P29" s="22">
        <v>79822.864289721125</v>
      </c>
      <c r="Q29" s="294"/>
      <c r="R29" s="294"/>
    </row>
    <row r="30" spans="1:18">
      <c r="A30" s="323"/>
      <c r="B30" s="358"/>
      <c r="C30" s="358"/>
      <c r="D30" s="358"/>
      <c r="E30" s="22"/>
      <c r="F30" s="22"/>
      <c r="G30" s="358"/>
      <c r="H30" s="22">
        <v>0</v>
      </c>
      <c r="I30" s="22"/>
      <c r="J30" s="22"/>
      <c r="K30" s="22"/>
      <c r="L30" s="22"/>
      <c r="M30" s="22"/>
      <c r="N30" s="22"/>
      <c r="O30" s="22"/>
      <c r="P30" s="22"/>
      <c r="Q30" s="294"/>
      <c r="R30" s="294"/>
    </row>
    <row r="31" spans="1:18">
      <c r="A31" s="324" t="s">
        <v>478</v>
      </c>
      <c r="B31" s="358">
        <v>-5992</v>
      </c>
      <c r="C31" s="358">
        <v>-6459</v>
      </c>
      <c r="D31" s="358">
        <v>-7244</v>
      </c>
      <c r="E31" s="22">
        <v>-7146</v>
      </c>
      <c r="F31" s="22">
        <v>-7223</v>
      </c>
      <c r="G31" s="358">
        <v>178</v>
      </c>
      <c r="H31" s="22">
        <v>0</v>
      </c>
      <c r="I31" s="22">
        <v>0</v>
      </c>
      <c r="J31" s="22">
        <v>0</v>
      </c>
      <c r="K31" s="22">
        <v>-1893</v>
      </c>
      <c r="L31" s="22">
        <v>-1568</v>
      </c>
      <c r="M31" s="22">
        <v>-6822</v>
      </c>
      <c r="N31" s="22">
        <v>-2620</v>
      </c>
      <c r="O31" s="22">
        <v>-11520.847135410997</v>
      </c>
      <c r="P31" s="22">
        <v>-9587</v>
      </c>
      <c r="Q31" s="294"/>
      <c r="R31" s="294"/>
    </row>
    <row r="32" spans="1:18">
      <c r="A32" s="324" t="s">
        <v>479</v>
      </c>
      <c r="B32" s="358">
        <v>-10855</v>
      </c>
      <c r="C32" s="358">
        <v>-11196</v>
      </c>
      <c r="D32" s="358">
        <v>-4178</v>
      </c>
      <c r="E32" s="22">
        <v>-1907</v>
      </c>
      <c r="F32" s="22">
        <v>-1818</v>
      </c>
      <c r="G32" s="358">
        <v>-3969</v>
      </c>
      <c r="H32" s="22">
        <v>3188</v>
      </c>
      <c r="I32" s="22">
        <v>13022</v>
      </c>
      <c r="J32" s="22">
        <v>9174</v>
      </c>
      <c r="K32" s="22">
        <v>7654</v>
      </c>
      <c r="L32" s="22">
        <v>-5969</v>
      </c>
      <c r="M32" s="22">
        <v>1115</v>
      </c>
      <c r="N32" s="22">
        <v>-6399</v>
      </c>
      <c r="O32" s="22">
        <v>-8747.6322700000001</v>
      </c>
      <c r="P32" s="22">
        <v>1240</v>
      </c>
      <c r="Q32" s="294"/>
      <c r="R32" s="294"/>
    </row>
    <row r="33" spans="1:18">
      <c r="A33" s="307" t="s">
        <v>480</v>
      </c>
      <c r="B33" s="362">
        <f>SUM(B31:B32)</f>
        <v>-16847</v>
      </c>
      <c r="C33" s="362">
        <f t="shared" ref="C33:K33" si="5">SUM(C31:C32)</f>
        <v>-17655</v>
      </c>
      <c r="D33" s="362">
        <f t="shared" si="5"/>
        <v>-11422</v>
      </c>
      <c r="E33" s="362">
        <f t="shared" si="5"/>
        <v>-9053</v>
      </c>
      <c r="F33" s="362">
        <f t="shared" si="5"/>
        <v>-9041</v>
      </c>
      <c r="G33" s="362">
        <f t="shared" si="5"/>
        <v>-3791</v>
      </c>
      <c r="H33" s="362">
        <f t="shared" si="5"/>
        <v>3188</v>
      </c>
      <c r="I33" s="362">
        <f t="shared" si="5"/>
        <v>13022</v>
      </c>
      <c r="J33" s="362">
        <f t="shared" si="5"/>
        <v>9174</v>
      </c>
      <c r="K33" s="362">
        <f t="shared" si="5"/>
        <v>5761</v>
      </c>
      <c r="L33" s="362">
        <v>-7537</v>
      </c>
      <c r="M33" s="8">
        <v>-5707</v>
      </c>
      <c r="N33" s="8">
        <v>-9019</v>
      </c>
      <c r="O33" s="8">
        <v>-20268.479405410995</v>
      </c>
      <c r="P33" s="8">
        <v>-8347</v>
      </c>
      <c r="Q33" s="294"/>
      <c r="R33" s="294"/>
    </row>
    <row r="34" spans="1:18">
      <c r="A34" s="323"/>
      <c r="B34" s="358"/>
      <c r="C34" s="358"/>
      <c r="D34" s="358"/>
      <c r="E34" s="360"/>
      <c r="F34" s="7"/>
      <c r="G34" s="358"/>
      <c r="H34" s="360"/>
      <c r="I34" s="360"/>
      <c r="J34" s="360"/>
      <c r="K34" s="360"/>
      <c r="L34" s="360"/>
      <c r="M34" s="23"/>
      <c r="N34" s="23"/>
      <c r="O34" s="23"/>
      <c r="P34" s="23"/>
      <c r="Q34" s="294"/>
      <c r="R34" s="294"/>
    </row>
    <row r="35" spans="1:18">
      <c r="A35" s="307" t="s">
        <v>481</v>
      </c>
      <c r="B35" s="362">
        <f>B29+B33</f>
        <v>88957</v>
      </c>
      <c r="C35" s="362">
        <f t="shared" ref="C35:K35" si="6">C29+C33</f>
        <v>63764</v>
      </c>
      <c r="D35" s="362">
        <f t="shared" si="6"/>
        <v>31522</v>
      </c>
      <c r="E35" s="362">
        <f t="shared" si="6"/>
        <v>46228</v>
      </c>
      <c r="F35" s="362">
        <f t="shared" si="6"/>
        <v>22015</v>
      </c>
      <c r="G35" s="362">
        <f t="shared" si="6"/>
        <v>-1936.0258596960339</v>
      </c>
      <c r="H35" s="362">
        <f t="shared" si="6"/>
        <v>-12084.390136322469</v>
      </c>
      <c r="I35" s="362">
        <f t="shared" si="6"/>
        <v>14369.175705245172</v>
      </c>
      <c r="J35" s="362">
        <f t="shared" si="6"/>
        <v>-122654</v>
      </c>
      <c r="K35" s="362">
        <f t="shared" si="6"/>
        <v>-28163</v>
      </c>
      <c r="L35" s="362">
        <v>28080.677914169384</v>
      </c>
      <c r="M35" s="8">
        <v>39923.036335421901</v>
      </c>
      <c r="N35" s="8">
        <v>56212.197720072669</v>
      </c>
      <c r="O35" s="8">
        <v>64834.428612485062</v>
      </c>
      <c r="P35" s="8">
        <v>71475.864289721125</v>
      </c>
      <c r="Q35" s="294"/>
      <c r="R35" s="294"/>
    </row>
    <row r="36" spans="1:18">
      <c r="A36" s="309" t="s">
        <v>7</v>
      </c>
      <c r="B36" s="9">
        <v>0.33949166126016106</v>
      </c>
      <c r="C36" s="9">
        <v>0.20390442399077285</v>
      </c>
      <c r="D36" s="9">
        <v>7.2682277514483584E-2</v>
      </c>
      <c r="E36" s="9">
        <v>0.11181497364748337</v>
      </c>
      <c r="F36" s="9">
        <v>5.5412504121643218E-2</v>
      </c>
      <c r="G36" s="9">
        <v>-5.3647685992891832E-3</v>
      </c>
      <c r="H36" s="9">
        <v>-3.5533233747750505E-2</v>
      </c>
      <c r="I36" s="9">
        <v>4.7004761090305727E-2</v>
      </c>
      <c r="J36" s="9">
        <v>-0.38786939679026011</v>
      </c>
      <c r="K36" s="9">
        <v>-0.11513570748179733</v>
      </c>
      <c r="L36" s="9">
        <v>8.9314656653439725E-2</v>
      </c>
      <c r="M36" s="9">
        <v>0.11366584461727045</v>
      </c>
      <c r="N36" s="9">
        <v>0.16419665115733256</v>
      </c>
      <c r="O36" s="9">
        <v>0.16197268581518959</v>
      </c>
      <c r="P36" s="9">
        <v>0.14939901767747446</v>
      </c>
      <c r="Q36" s="294"/>
      <c r="R36" s="294"/>
    </row>
    <row r="37" spans="1:18">
      <c r="A37" s="323"/>
      <c r="B37" s="360"/>
      <c r="C37" s="360"/>
      <c r="D37" s="360"/>
      <c r="E37" s="360"/>
      <c r="F37" s="360"/>
      <c r="G37" s="368"/>
      <c r="H37" s="360"/>
      <c r="I37" s="360"/>
      <c r="J37" s="360"/>
      <c r="K37" s="360"/>
      <c r="L37" s="360"/>
      <c r="M37" s="23"/>
      <c r="N37" s="23"/>
      <c r="O37" s="23"/>
      <c r="P37" s="23"/>
      <c r="Q37" s="294"/>
      <c r="R37" s="294"/>
    </row>
    <row r="38" spans="1:18">
      <c r="A38" s="322" t="s">
        <v>3</v>
      </c>
      <c r="B38" s="369">
        <v>-3147</v>
      </c>
      <c r="C38" s="370">
        <v>-5425</v>
      </c>
      <c r="D38" s="370">
        <v>-9599</v>
      </c>
      <c r="E38" s="22">
        <v>-13148.34042</v>
      </c>
      <c r="F38" s="22">
        <v>-14029</v>
      </c>
      <c r="G38" s="370">
        <v>-13423.999999999998</v>
      </c>
      <c r="H38" s="22">
        <v>-12145</v>
      </c>
      <c r="I38" s="22">
        <v>-11276</v>
      </c>
      <c r="J38" s="22">
        <v>-12236</v>
      </c>
      <c r="K38" s="22">
        <v>-11049</v>
      </c>
      <c r="L38" s="22">
        <v>-8871</v>
      </c>
      <c r="M38" s="22">
        <v>-9751</v>
      </c>
      <c r="N38" s="22">
        <v>-9580</v>
      </c>
      <c r="O38" s="22">
        <v>-10537</v>
      </c>
      <c r="P38" s="22">
        <v>-11414</v>
      </c>
      <c r="Q38" s="294"/>
      <c r="R38" s="294"/>
    </row>
    <row r="39" spans="1:18">
      <c r="A39" s="322" t="s">
        <v>482</v>
      </c>
      <c r="B39" s="369">
        <v>7189</v>
      </c>
      <c r="C39" s="370">
        <v>11074</v>
      </c>
      <c r="D39" s="370">
        <v>13116</v>
      </c>
      <c r="E39" s="22">
        <v>16594.183259999998</v>
      </c>
      <c r="F39" s="22">
        <v>39829.427649999998</v>
      </c>
      <c r="G39" s="370">
        <v>60361.674559999999</v>
      </c>
      <c r="H39" s="22">
        <v>30370.459159999999</v>
      </c>
      <c r="I39" s="22">
        <v>70839.439969999978</v>
      </c>
      <c r="J39" s="22">
        <v>32650.937389999999</v>
      </c>
      <c r="K39" s="22">
        <v>51557</v>
      </c>
      <c r="L39" s="22">
        <v>7381.5167577351585</v>
      </c>
      <c r="M39" s="22">
        <v>16031.365390000003</v>
      </c>
      <c r="N39" s="22">
        <v>16007.603759999996</v>
      </c>
      <c r="O39" s="22">
        <v>30033.440440000006</v>
      </c>
      <c r="P39" s="22">
        <v>19401.930299999996</v>
      </c>
      <c r="Q39" s="294"/>
      <c r="R39" s="294"/>
    </row>
    <row r="40" spans="1:18">
      <c r="A40" s="322" t="s">
        <v>483</v>
      </c>
      <c r="B40" s="369">
        <v>9403</v>
      </c>
      <c r="C40" s="369">
        <v>8960</v>
      </c>
      <c r="D40" s="369">
        <v>10648.179258574701</v>
      </c>
      <c r="E40" s="22">
        <v>14081.99249759946</v>
      </c>
      <c r="F40" s="22">
        <v>17594.58786</v>
      </c>
      <c r="G40" s="370">
        <v>18027.933370203027</v>
      </c>
      <c r="H40" s="22">
        <v>12260.450229373513</v>
      </c>
      <c r="I40" s="22">
        <v>12031.857803829414</v>
      </c>
      <c r="J40" s="22">
        <v>7687.4019227921626</v>
      </c>
      <c r="K40" s="22">
        <v>3071</v>
      </c>
      <c r="L40" s="22">
        <v>4864.4832422648415</v>
      </c>
      <c r="M40" s="22">
        <v>11121.449176155087</v>
      </c>
      <c r="N40" s="22">
        <v>14633.584358987637</v>
      </c>
      <c r="O40" s="22">
        <v>13369.902473635977</v>
      </c>
      <c r="P40" s="22">
        <v>19571.653935144313</v>
      </c>
      <c r="Q40" s="294"/>
      <c r="R40" s="294"/>
    </row>
    <row r="41" spans="1:18">
      <c r="A41" s="322" t="s">
        <v>474</v>
      </c>
      <c r="B41" s="369">
        <v>-9288</v>
      </c>
      <c r="C41" s="369">
        <v>-3374</v>
      </c>
      <c r="D41" s="369">
        <v>-29310</v>
      </c>
      <c r="E41" s="22">
        <v>-40568.457139999999</v>
      </c>
      <c r="F41" s="22">
        <v>-58735.880399999995</v>
      </c>
      <c r="G41" s="370">
        <v>-86070.56035</v>
      </c>
      <c r="H41" s="22">
        <v>-45898.370999999999</v>
      </c>
      <c r="I41" s="22">
        <v>-78624.831690000006</v>
      </c>
      <c r="J41" s="22">
        <v>-45516.928039999999</v>
      </c>
      <c r="K41" s="22">
        <v>-78936</v>
      </c>
      <c r="L41" s="22">
        <v>-27277</v>
      </c>
      <c r="M41" s="22">
        <v>-37122.594119999994</v>
      </c>
      <c r="N41" s="22">
        <v>-27125.163770000003</v>
      </c>
      <c r="O41" s="22">
        <v>-25067.360719999997</v>
      </c>
      <c r="P41" s="22">
        <v>-33998.283589999992</v>
      </c>
      <c r="Q41" s="294"/>
      <c r="R41" s="294"/>
    </row>
    <row r="42" spans="1:18">
      <c r="A42" s="322" t="s">
        <v>484</v>
      </c>
      <c r="B42" s="370">
        <v>-2070</v>
      </c>
      <c r="C42" s="371">
        <v>-6459</v>
      </c>
      <c r="D42" s="371">
        <v>-7106.2640999999985</v>
      </c>
      <c r="E42" s="22">
        <v>-7079.9619980000007</v>
      </c>
      <c r="F42" s="22">
        <v>-7222.3714499999996</v>
      </c>
      <c r="G42" s="370">
        <v>178.67804999999998</v>
      </c>
      <c r="H42" s="22">
        <v>0</v>
      </c>
      <c r="I42" s="22">
        <v>0</v>
      </c>
      <c r="J42" s="22">
        <v>-7.1155999999999997</v>
      </c>
      <c r="K42" s="22">
        <v>-1892</v>
      </c>
      <c r="L42" s="22">
        <v>-1567.9252200000001</v>
      </c>
      <c r="M42" s="22">
        <v>-6822.4998500000002</v>
      </c>
      <c r="N42" s="22">
        <v>-2620.7553816129998</v>
      </c>
      <c r="O42" s="22">
        <v>-11520.847135410999</v>
      </c>
      <c r="P42" s="22">
        <v>-9586.8514999999989</v>
      </c>
      <c r="Q42" s="294"/>
      <c r="R42" s="294"/>
    </row>
    <row r="43" spans="1:18">
      <c r="A43" s="322" t="s">
        <v>485</v>
      </c>
      <c r="B43" s="369">
        <v>-10855</v>
      </c>
      <c r="C43" s="369">
        <v>-11196</v>
      </c>
      <c r="D43" s="369">
        <v>-4178</v>
      </c>
      <c r="E43" s="22">
        <v>-1908.3374199999998</v>
      </c>
      <c r="F43" s="22">
        <v>-1818.1681300000002</v>
      </c>
      <c r="G43" s="370">
        <v>-3969.3795699999991</v>
      </c>
      <c r="H43" s="22">
        <v>3187.1885900000002</v>
      </c>
      <c r="I43" s="22">
        <v>13022.907749999993</v>
      </c>
      <c r="J43" s="22">
        <v>9172.2312099999999</v>
      </c>
      <c r="K43" s="22">
        <v>7653</v>
      </c>
      <c r="L43" s="22">
        <v>-5967.9754800000001</v>
      </c>
      <c r="M43" s="22">
        <v>1115.0376599999995</v>
      </c>
      <c r="N43" s="22">
        <v>-6397.8176800000001</v>
      </c>
      <c r="O43" s="22">
        <v>-8747.6322700000019</v>
      </c>
      <c r="P43" s="22">
        <v>1240.1715400000003</v>
      </c>
      <c r="Q43" s="294"/>
      <c r="R43" s="294"/>
    </row>
    <row r="44" spans="1:18">
      <c r="A44" s="307" t="s">
        <v>54</v>
      </c>
      <c r="B44" s="362">
        <f>B35-SUM(B38:B43)</f>
        <v>97725</v>
      </c>
      <c r="C44" s="362">
        <f t="shared" ref="C44:K44" si="7">C35-SUM(C38:C43)</f>
        <v>70184</v>
      </c>
      <c r="D44" s="362">
        <f t="shared" si="7"/>
        <v>57951.084841425298</v>
      </c>
      <c r="E44" s="362">
        <f t="shared" si="7"/>
        <v>78256.921220400545</v>
      </c>
      <c r="F44" s="362">
        <f t="shared" si="7"/>
        <v>46396.404469999994</v>
      </c>
      <c r="G44" s="362">
        <f t="shared" si="7"/>
        <v>22959.628080100942</v>
      </c>
      <c r="H44" s="362">
        <f t="shared" si="7"/>
        <v>140.88288430401917</v>
      </c>
      <c r="I44" s="362">
        <f t="shared" si="7"/>
        <v>8375.8018714157861</v>
      </c>
      <c r="J44" s="362">
        <f t="shared" si="7"/>
        <v>-114404.52688279217</v>
      </c>
      <c r="K44" s="362">
        <f t="shared" si="7"/>
        <v>1433</v>
      </c>
      <c r="L44" s="362">
        <v>59518.578614169382</v>
      </c>
      <c r="M44" s="8">
        <v>65351.278079266805</v>
      </c>
      <c r="N44" s="8">
        <v>71294.746432698041</v>
      </c>
      <c r="O44" s="8">
        <v>77303.925824260077</v>
      </c>
      <c r="P44" s="8">
        <v>86261.243604576797</v>
      </c>
      <c r="Q44" s="294"/>
      <c r="R44" s="294"/>
    </row>
    <row r="45" spans="1:18">
      <c r="A45" s="338" t="s">
        <v>486</v>
      </c>
      <c r="B45" s="372">
        <v>22621</v>
      </c>
      <c r="C45" s="372">
        <v>1706.677077851524</v>
      </c>
      <c r="D45" s="372">
        <v>-799.577</v>
      </c>
      <c r="E45" s="22">
        <v>-1206.526360097015</v>
      </c>
      <c r="F45" s="22">
        <v>-63.302908076515223</v>
      </c>
      <c r="G45" s="372">
        <v>-1883.306</v>
      </c>
      <c r="H45" s="22">
        <v>-2125.4444765631001</v>
      </c>
      <c r="I45" s="22">
        <v>-963.05533319572203</v>
      </c>
      <c r="J45" s="22">
        <v>-9653.600019999998</v>
      </c>
      <c r="K45" s="22">
        <v>1612</v>
      </c>
      <c r="L45" s="22">
        <v>-2857</v>
      </c>
      <c r="M45" s="22">
        <v>-3656</v>
      </c>
      <c r="N45" s="22">
        <v>-2805.5360900000001</v>
      </c>
      <c r="O45" s="22">
        <v>-1784.0140200000001</v>
      </c>
      <c r="P45" s="22">
        <v>-2870.6084300000002</v>
      </c>
      <c r="Q45" s="294"/>
      <c r="R45" s="294"/>
    </row>
    <row r="46" spans="1:18">
      <c r="A46" s="339" t="s">
        <v>487</v>
      </c>
      <c r="B46" s="372">
        <v>7150</v>
      </c>
      <c r="C46" s="372">
        <v>-1159.8243400000001</v>
      </c>
      <c r="D46" s="372">
        <v>-11678.14939</v>
      </c>
      <c r="E46" s="22">
        <v>1037.0412756000001</v>
      </c>
      <c r="F46" s="22">
        <v>-19758.476630000001</v>
      </c>
      <c r="G46" s="372">
        <v>-1616.67</v>
      </c>
      <c r="H46" s="22">
        <v>-6900</v>
      </c>
      <c r="I46" s="22">
        <v>-19498</v>
      </c>
      <c r="J46" s="22">
        <v>-1528</v>
      </c>
      <c r="K46" s="22">
        <v>-2639</v>
      </c>
      <c r="L46" s="22">
        <v>4568</v>
      </c>
      <c r="M46" s="22">
        <v>0</v>
      </c>
      <c r="N46" s="22">
        <v>1653</v>
      </c>
      <c r="O46" s="22">
        <v>0</v>
      </c>
      <c r="P46" s="22">
        <v>0</v>
      </c>
      <c r="Q46" s="294"/>
      <c r="R46" s="294"/>
    </row>
    <row r="47" spans="1:18">
      <c r="A47" s="339" t="s">
        <v>488</v>
      </c>
      <c r="B47" s="369">
        <v>0</v>
      </c>
      <c r="C47" s="372">
        <v>0</v>
      </c>
      <c r="D47" s="369">
        <v>-743.67</v>
      </c>
      <c r="E47" s="22">
        <v>-1509.1870000000001</v>
      </c>
      <c r="F47" s="22">
        <v>5375.1013999999996</v>
      </c>
      <c r="G47" s="372">
        <v>0</v>
      </c>
      <c r="H47" s="22"/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94"/>
      <c r="R47" s="294"/>
    </row>
    <row r="48" spans="1:18">
      <c r="A48" s="339" t="s">
        <v>489</v>
      </c>
      <c r="B48" s="369">
        <v>0</v>
      </c>
      <c r="C48" s="372">
        <v>0</v>
      </c>
      <c r="D48" s="369">
        <v>-4554.58554</v>
      </c>
      <c r="E48" s="22">
        <v>-2635.1899100000001</v>
      </c>
      <c r="F48" s="22">
        <v>-771.45402000000001</v>
      </c>
      <c r="G48" s="372">
        <v>-78.071079999999995</v>
      </c>
      <c r="H48" s="22">
        <v>-131.54944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94"/>
      <c r="R48" s="294"/>
    </row>
    <row r="49" spans="1:18">
      <c r="A49" s="322" t="s">
        <v>490</v>
      </c>
      <c r="B49" s="369">
        <v>-877</v>
      </c>
      <c r="C49" s="372">
        <v>0</v>
      </c>
      <c r="D49" s="369">
        <v>0</v>
      </c>
      <c r="E49" s="22">
        <v>0</v>
      </c>
      <c r="F49" s="22">
        <v>0</v>
      </c>
      <c r="G49" s="372"/>
      <c r="H49" s="22">
        <v>-2037.0375099999999</v>
      </c>
      <c r="I49" s="22">
        <v>-1203.26125</v>
      </c>
      <c r="J49" s="22">
        <v>-1402.3747800000001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94"/>
      <c r="R49" s="294"/>
    </row>
    <row r="50" spans="1:18">
      <c r="A50" s="339" t="s">
        <v>491</v>
      </c>
      <c r="B50" s="369">
        <v>-9892</v>
      </c>
      <c r="C50" s="372">
        <v>-2424.9584500000001</v>
      </c>
      <c r="D50" s="369">
        <v>-6241.5990000000002</v>
      </c>
      <c r="E50" s="22">
        <v>-3830.0338200000001</v>
      </c>
      <c r="F50" s="22">
        <v>-4099.9849999999997</v>
      </c>
      <c r="G50" s="372">
        <v>-2997.5649900000003</v>
      </c>
      <c r="H50" s="22">
        <v>-10679.379724250022</v>
      </c>
      <c r="I50" s="22">
        <v>-6287.0451438294149</v>
      </c>
      <c r="J50" s="22">
        <v>-6409.1697784806711</v>
      </c>
      <c r="K50" s="22">
        <v>-3545</v>
      </c>
      <c r="L50" s="22">
        <v>-5372.8296697964197</v>
      </c>
      <c r="M50" s="22">
        <v>-13408.097259245656</v>
      </c>
      <c r="N50" s="22">
        <v>-14275.349873184568</v>
      </c>
      <c r="O50" s="22">
        <v>-14093.200687363358</v>
      </c>
      <c r="P50" s="22">
        <v>-22586.998975144321</v>
      </c>
      <c r="Q50" s="294"/>
      <c r="R50" s="294"/>
    </row>
    <row r="51" spans="1:18">
      <c r="A51" s="339" t="s">
        <v>492</v>
      </c>
      <c r="B51" s="373">
        <v>0</v>
      </c>
      <c r="C51" s="373">
        <v>-8482.2513770875557</v>
      </c>
      <c r="D51" s="373">
        <v>-12648.48400233217</v>
      </c>
      <c r="E51" s="22">
        <v>-15161.074877599462</v>
      </c>
      <c r="F51" s="22">
        <v>-18342.442920000001</v>
      </c>
      <c r="G51" s="374">
        <v>-16796.437820203028</v>
      </c>
      <c r="H51" s="333"/>
      <c r="I51" s="333">
        <v>28336.202229999999</v>
      </c>
      <c r="J51" s="333">
        <v>-110584.390763918</v>
      </c>
      <c r="K51" s="333">
        <v>0</v>
      </c>
      <c r="L51" s="333">
        <v>0</v>
      </c>
      <c r="M51" s="22">
        <v>0</v>
      </c>
      <c r="N51" s="22">
        <v>0</v>
      </c>
      <c r="O51" s="22">
        <v>0</v>
      </c>
      <c r="P51" s="22">
        <v>0</v>
      </c>
      <c r="Q51" s="294"/>
      <c r="R51" s="294"/>
    </row>
    <row r="52" spans="1:18" ht="15" thickBot="1">
      <c r="A52" s="311" t="s">
        <v>493</v>
      </c>
      <c r="B52" s="375">
        <f>B44-SUM(B45:B51)</f>
        <v>78723</v>
      </c>
      <c r="C52" s="375">
        <f>C44-SUM(C45:C51)</f>
        <v>80544.357089236029</v>
      </c>
      <c r="D52" s="375">
        <f t="shared" ref="D52:F52" si="8">D44-SUM(D45:D51)</f>
        <v>94617.149773757468</v>
      </c>
      <c r="E52" s="375">
        <f>E44-SUM(E45:E51)</f>
        <v>101561.89191249703</v>
      </c>
      <c r="F52" s="375">
        <f t="shared" si="8"/>
        <v>84056.964548076503</v>
      </c>
      <c r="G52" s="375">
        <f>G44-SUM(G45:G51)</f>
        <v>46331.677970303972</v>
      </c>
      <c r="H52" s="375">
        <f t="shared" ref="H52:K52" si="9">H44-SUM(H45:H51)</f>
        <v>22014.294035117142</v>
      </c>
      <c r="I52" s="375">
        <f t="shared" si="9"/>
        <v>7990.9613684409251</v>
      </c>
      <c r="J52" s="375">
        <f t="shared" si="9"/>
        <v>15173.008459606499</v>
      </c>
      <c r="K52" s="375">
        <f t="shared" si="9"/>
        <v>6005</v>
      </c>
      <c r="L52" s="377">
        <v>63180.4082839658</v>
      </c>
      <c r="M52" s="92">
        <v>82415.375338512458</v>
      </c>
      <c r="N52" s="92">
        <v>86722.632395882611</v>
      </c>
      <c r="O52" s="92">
        <v>93181.14053162343</v>
      </c>
      <c r="P52" s="92">
        <v>111718.85100972111</v>
      </c>
      <c r="Q52" s="294"/>
      <c r="R52" s="294"/>
    </row>
    <row r="53" spans="1:18">
      <c r="A53" s="309" t="s">
        <v>494</v>
      </c>
      <c r="B53" s="9">
        <f>B52/B8</f>
        <v>0.30043506468724956</v>
      </c>
      <c r="C53" s="9">
        <f t="shared" ref="C53:K53" si="10">C52/C8</f>
        <v>0.25756462483513887</v>
      </c>
      <c r="D53" s="9">
        <f t="shared" si="10"/>
        <v>0.21816477182557248</v>
      </c>
      <c r="E53" s="9">
        <f t="shared" si="10"/>
        <v>0.24565502006975018</v>
      </c>
      <c r="F53" s="9">
        <f t="shared" si="10"/>
        <v>0.21157424003965966</v>
      </c>
      <c r="G53" s="9">
        <f t="shared" si="10"/>
        <v>0.12838777434269893</v>
      </c>
      <c r="H53" s="9">
        <f t="shared" si="10"/>
        <v>6.4733453801847654E-2</v>
      </c>
      <c r="I53" s="9">
        <f t="shared" si="10"/>
        <v>2.6140207184488555E-2</v>
      </c>
      <c r="J53" s="9">
        <f t="shared" si="10"/>
        <v>4.7981491790271676E-2</v>
      </c>
      <c r="K53" s="9">
        <f t="shared" si="10"/>
        <v>2.4549545227983059E-2</v>
      </c>
      <c r="L53" s="9">
        <v>0.20095442461733248</v>
      </c>
      <c r="M53" s="9">
        <f>M52/M8</f>
        <v>0.2346468131480707</v>
      </c>
      <c r="N53" s="9">
        <v>0.25331807679648072</v>
      </c>
      <c r="O53" s="9">
        <v>0.23278989145472739</v>
      </c>
      <c r="P53" s="9">
        <v>0.23351500206075482</v>
      </c>
      <c r="Q53" s="294"/>
      <c r="R53" s="294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DRE</vt:lpstr>
      <vt:lpstr>DFC Price</vt:lpstr>
      <vt:lpstr>Balanço Patrimonial</vt:lpstr>
      <vt:lpstr>Fluxo de caixa</vt:lpstr>
      <vt:lpstr>DRE Histórico</vt:lpstr>
      <vt:lpstr>'BP Price'!_GoBack</vt:lpstr>
      <vt:lpstr>'Balanço Patrimonial'!Area_de_impressao</vt:lpstr>
      <vt:lpstr>DRE!Area_de_impressao</vt:lpstr>
      <vt:lpstr>'Fluxo de caixa'!Area_de_impressao</vt:lpstr>
      <vt:lpstr>'Planilha Hélio'!Area_de_impressao</vt:lpstr>
      <vt:lpstr>ATIVO</vt:lpstr>
      <vt:lpstr>DRE</vt:lpstr>
      <vt:lpstr>PASSIVO</vt:lpstr>
      <vt:lpstr>'Fluxo de caixa'!Titulos_de_impressao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Cintia Aparecida Dornelas</cp:lastModifiedBy>
  <cp:lastPrinted>2022-08-02T01:54:45Z</cp:lastPrinted>
  <dcterms:created xsi:type="dcterms:W3CDTF">2012-03-29T12:17:55Z</dcterms:created>
  <dcterms:modified xsi:type="dcterms:W3CDTF">2026-05-11T19:23:24Z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