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5\2TRI\Peças Divulgação\"/>
    </mc:Choice>
  </mc:AlternateContent>
  <xr:revisionPtr revIDLastSave="0" documentId="8_{D6B74153-857B-4912-9E54-2FAA24575C73}" xr6:coauthVersionLast="47" xr6:coauthVersionMax="47" xr10:uidLastSave="{00000000-0000-0000-0000-000000000000}"/>
  <bookViews>
    <workbookView xWindow="-108" yWindow="-108" windowWidth="23256" windowHeight="12456" tabRatio="594" firstSheet="3" activeTab="3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Income Statement" sheetId="1" r:id="rId4"/>
    <sheet name="DFC Price" sheetId="18" state="hidden" r:id="rId5"/>
    <sheet name="Balance sheet" sheetId="3" r:id="rId6"/>
    <sheet name="Cash flow" sheetId="12" r:id="rId7"/>
    <sheet name="Gross operational revenue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'Balance sheet'!$A$2:$H$68</definedName>
    <definedName name="_xlnm.Print_Area" localSheetId="6">'Cash flow'!$A$2:$V$77</definedName>
    <definedName name="_xlnm.Print_Area" localSheetId="3">'Income Statement'!$A$2:$AJ$53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'Cash flow'!$2:$2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1" l="1"/>
  <c r="V13" i="1"/>
  <c r="H58" i="12"/>
  <c r="H56" i="12"/>
  <c r="H54" i="12"/>
  <c r="H53" i="12"/>
  <c r="H52" i="12"/>
  <c r="H51" i="12"/>
  <c r="H46" i="12"/>
  <c r="H42" i="12"/>
  <c r="H41" i="12"/>
  <c r="H40" i="12"/>
  <c r="H39" i="12"/>
  <c r="H38" i="12"/>
  <c r="H35" i="12"/>
  <c r="H25" i="12"/>
  <c r="H21" i="12"/>
  <c r="H16" i="12"/>
  <c r="H15" i="12"/>
  <c r="H7" i="12"/>
  <c r="H59" i="12"/>
  <c r="H57" i="12"/>
  <c r="H55" i="12"/>
  <c r="H50" i="12"/>
  <c r="H49" i="12"/>
  <c r="H45" i="12"/>
  <c r="H44" i="12"/>
  <c r="H13" i="12"/>
  <c r="H34" i="12"/>
  <c r="H33" i="12"/>
  <c r="H32" i="12"/>
  <c r="H31" i="12"/>
  <c r="H30" i="12"/>
  <c r="H29" i="12"/>
  <c r="H28" i="12"/>
  <c r="H27" i="12"/>
  <c r="H26" i="12"/>
  <c r="H60" i="12" l="1"/>
  <c r="H4" i="12"/>
  <c r="H22" i="12"/>
  <c r="H20" i="12"/>
  <c r="H19" i="12"/>
  <c r="H18" i="12"/>
  <c r="H17" i="12"/>
  <c r="H14" i="12"/>
  <c r="H12" i="12"/>
  <c r="H11" i="12"/>
  <c r="H10" i="12"/>
  <c r="H9" i="12"/>
  <c r="H6" i="12"/>
  <c r="T23" i="12" l="1"/>
  <c r="T36" i="12" s="1"/>
  <c r="H8" i="12"/>
  <c r="H43" i="12"/>
  <c r="T47" i="12"/>
  <c r="H23" i="12" l="1"/>
  <c r="H36" i="12" s="1"/>
  <c r="H47" i="12"/>
  <c r="F26" i="3"/>
  <c r="F54" i="3"/>
  <c r="H61" i="12" l="1"/>
  <c r="F65" i="3"/>
  <c r="H65" i="12" l="1"/>
  <c r="H63" i="12"/>
  <c r="G63" i="12"/>
  <c r="S59" i="12" l="1"/>
  <c r="S58" i="12"/>
  <c r="S57" i="12"/>
  <c r="S56" i="12"/>
  <c r="S55" i="12"/>
  <c r="S54" i="12"/>
  <c r="S53" i="12"/>
  <c r="S52" i="12"/>
  <c r="S51" i="12"/>
  <c r="S50" i="12"/>
  <c r="S49" i="12"/>
  <c r="S46" i="12"/>
  <c r="S45" i="12"/>
  <c r="S44" i="12"/>
  <c r="S43" i="12"/>
  <c r="S42" i="12"/>
  <c r="S41" i="12"/>
  <c r="S40" i="12"/>
  <c r="S39" i="12"/>
  <c r="S38" i="12"/>
  <c r="S35" i="12"/>
  <c r="S34" i="12"/>
  <c r="S33" i="12"/>
  <c r="S32" i="12"/>
  <c r="S31" i="12"/>
  <c r="S30" i="12"/>
  <c r="S29" i="12"/>
  <c r="S28" i="12"/>
  <c r="S27" i="12"/>
  <c r="S26" i="12"/>
  <c r="S25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E26" i="3" l="1"/>
  <c r="E54" i="3"/>
  <c r="E65" i="3"/>
  <c r="E67" i="3" l="1"/>
  <c r="V33" i="1" l="1"/>
  <c r="V27" i="1"/>
  <c r="V23" i="1"/>
  <c r="V19" i="1"/>
  <c r="V16" i="1"/>
  <c r="AH32" i="1"/>
  <c r="AH31" i="1"/>
  <c r="AG27" i="1"/>
  <c r="AH26" i="1"/>
  <c r="AH25" i="1"/>
  <c r="AH21" i="1"/>
  <c r="AG51" i="1"/>
  <c r="AG50" i="1"/>
  <c r="AG49" i="1"/>
  <c r="AG48" i="1"/>
  <c r="AG47" i="1"/>
  <c r="AG46" i="1"/>
  <c r="AG45" i="1"/>
  <c r="AG43" i="1"/>
  <c r="AG42" i="1"/>
  <c r="AG41" i="1"/>
  <c r="AG40" i="1"/>
  <c r="AG39" i="1"/>
  <c r="AG38" i="1"/>
  <c r="AG32" i="1"/>
  <c r="AG31" i="1"/>
  <c r="AG26" i="1"/>
  <c r="AG25" i="1"/>
  <c r="AG21" i="1"/>
  <c r="AG18" i="1"/>
  <c r="AG14" i="1"/>
  <c r="AG13" i="1"/>
  <c r="AG9" i="1"/>
  <c r="AG6" i="1"/>
  <c r="AG5" i="1"/>
  <c r="AG4" i="1"/>
  <c r="AH3" i="1"/>
  <c r="AG3" i="1"/>
  <c r="V29" i="1" l="1"/>
  <c r="V35" i="1" s="1"/>
  <c r="V44" i="1" s="1"/>
  <c r="V52" i="1" s="1"/>
  <c r="V36" i="1"/>
  <c r="D60" i="12"/>
  <c r="D47" i="12"/>
  <c r="D36" i="12"/>
  <c r="D61" i="12" s="1"/>
  <c r="D65" i="12" s="1"/>
  <c r="D23" i="12"/>
  <c r="V53" i="1" l="1"/>
  <c r="T63" i="12"/>
  <c r="T46" i="12"/>
  <c r="T60" i="12" l="1"/>
  <c r="T61" i="12" l="1"/>
  <c r="T65" i="12" l="1"/>
  <c r="N53" i="19"/>
  <c r="R27" i="1" l="1"/>
  <c r="AH27" i="1" l="1"/>
  <c r="X53" i="1"/>
  <c r="X52" i="1"/>
  <c r="W52" i="1"/>
  <c r="X51" i="1"/>
  <c r="W51" i="1"/>
  <c r="X50" i="1"/>
  <c r="W50" i="1"/>
  <c r="X49" i="1"/>
  <c r="W49" i="1"/>
  <c r="X48" i="1"/>
  <c r="W48" i="1"/>
  <c r="X47" i="1"/>
  <c r="W47" i="1"/>
  <c r="X46" i="1"/>
  <c r="W46" i="1"/>
  <c r="X45" i="1"/>
  <c r="W45" i="1"/>
  <c r="X44" i="1"/>
  <c r="W44" i="1"/>
  <c r="X43" i="1"/>
  <c r="W43" i="1"/>
  <c r="X42" i="1"/>
  <c r="W42" i="1"/>
  <c r="X41" i="1"/>
  <c r="W41" i="1"/>
  <c r="X40" i="1"/>
  <c r="W40" i="1"/>
  <c r="X39" i="1"/>
  <c r="W39" i="1"/>
  <c r="X38" i="1"/>
  <c r="W38" i="1"/>
  <c r="X36" i="1"/>
  <c r="X35" i="1"/>
  <c r="W35" i="1"/>
  <c r="X33" i="1"/>
  <c r="W33" i="1"/>
  <c r="X32" i="1"/>
  <c r="W32" i="1"/>
  <c r="X31" i="1"/>
  <c r="W31" i="1"/>
  <c r="X29" i="1"/>
  <c r="W29" i="1"/>
  <c r="X27" i="1"/>
  <c r="W27" i="1"/>
  <c r="X26" i="1"/>
  <c r="W26" i="1"/>
  <c r="X25" i="1"/>
  <c r="W25" i="1"/>
  <c r="X23" i="1"/>
  <c r="W23" i="1"/>
  <c r="X21" i="1"/>
  <c r="W21" i="1"/>
  <c r="X19" i="1"/>
  <c r="X18" i="1"/>
  <c r="W18" i="1"/>
  <c r="X16" i="1"/>
  <c r="W14" i="1"/>
  <c r="X13" i="1"/>
  <c r="W13" i="1"/>
  <c r="X11" i="1"/>
  <c r="X10" i="1"/>
  <c r="W10" i="1"/>
  <c r="X8" i="1"/>
  <c r="W8" i="1"/>
  <c r="X6" i="1"/>
  <c r="W6" i="1"/>
  <c r="X5" i="1"/>
  <c r="W5" i="1"/>
  <c r="X4" i="1"/>
  <c r="W4" i="1"/>
  <c r="X3" i="1"/>
  <c r="W3" i="1"/>
  <c r="V22" i="12" l="1"/>
  <c r="U22" i="12"/>
  <c r="F65" i="12"/>
  <c r="E65" i="12"/>
  <c r="F63" i="12"/>
  <c r="E63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4" i="12"/>
  <c r="E4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J6" i="12"/>
  <c r="I6" i="12"/>
  <c r="J4" i="12"/>
  <c r="I4" i="12"/>
  <c r="N65" i="12"/>
  <c r="M65" i="12"/>
  <c r="N63" i="12"/>
  <c r="M63" i="12"/>
  <c r="N61" i="12"/>
  <c r="M61" i="12"/>
  <c r="N60" i="12"/>
  <c r="M60" i="12"/>
  <c r="N59" i="12"/>
  <c r="M59" i="12"/>
  <c r="N58" i="12"/>
  <c r="M58" i="12"/>
  <c r="N57" i="12"/>
  <c r="M57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8" i="12"/>
  <c r="M38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N7" i="12"/>
  <c r="M7" i="12"/>
  <c r="N6" i="12"/>
  <c r="M6" i="12"/>
  <c r="N4" i="12"/>
  <c r="M4" i="12"/>
  <c r="R63" i="12"/>
  <c r="Q63" i="12"/>
  <c r="R59" i="12"/>
  <c r="Q59" i="12"/>
  <c r="R58" i="12"/>
  <c r="Q58" i="12"/>
  <c r="R57" i="12"/>
  <c r="Q57" i="12"/>
  <c r="R56" i="12"/>
  <c r="Q56" i="12"/>
  <c r="R55" i="12"/>
  <c r="Q55" i="12"/>
  <c r="R54" i="12"/>
  <c r="Q54" i="12"/>
  <c r="R53" i="12"/>
  <c r="Q53" i="12"/>
  <c r="R51" i="12"/>
  <c r="Q51" i="12"/>
  <c r="R50" i="12"/>
  <c r="Q50" i="12"/>
  <c r="R49" i="12"/>
  <c r="Q49" i="12"/>
  <c r="R46" i="12"/>
  <c r="Q46" i="12"/>
  <c r="R45" i="12"/>
  <c r="Q45" i="12"/>
  <c r="R44" i="12"/>
  <c r="Q44" i="12"/>
  <c r="R42" i="12"/>
  <c r="Q42" i="12"/>
  <c r="R41" i="12"/>
  <c r="Q41" i="12"/>
  <c r="R40" i="12"/>
  <c r="Q40" i="12"/>
  <c r="R39" i="12"/>
  <c r="Q39" i="12"/>
  <c r="R38" i="12"/>
  <c r="Q38" i="12"/>
  <c r="R35" i="12"/>
  <c r="Q35" i="12"/>
  <c r="R31" i="12"/>
  <c r="Q31" i="12"/>
  <c r="R26" i="12"/>
  <c r="Q26" i="12"/>
  <c r="R25" i="12"/>
  <c r="Q25" i="12"/>
  <c r="R21" i="12"/>
  <c r="Q21" i="12"/>
  <c r="R20" i="12"/>
  <c r="Q20" i="12"/>
  <c r="R19" i="12"/>
  <c r="Q19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7" i="12"/>
  <c r="Q7" i="12"/>
  <c r="R6" i="12"/>
  <c r="Q6" i="12"/>
  <c r="S63" i="12" l="1"/>
  <c r="H63" i="3"/>
  <c r="H62" i="3"/>
  <c r="H61" i="3"/>
  <c r="H60" i="3"/>
  <c r="H59" i="3"/>
  <c r="H58" i="3"/>
  <c r="H57" i="3"/>
  <c r="G64" i="3"/>
  <c r="G63" i="3"/>
  <c r="G62" i="3"/>
  <c r="G61" i="3"/>
  <c r="G60" i="3"/>
  <c r="G59" i="3"/>
  <c r="G58" i="3"/>
  <c r="G57" i="3"/>
  <c r="G56" i="3"/>
  <c r="U15" i="12" l="1"/>
  <c r="V15" i="12"/>
  <c r="V45" i="12"/>
  <c r="U45" i="12"/>
  <c r="V17" i="12"/>
  <c r="U17" i="12"/>
  <c r="V46" i="12"/>
  <c r="U46" i="12"/>
  <c r="V56" i="12"/>
  <c r="U56" i="12"/>
  <c r="V10" i="12"/>
  <c r="U10" i="12"/>
  <c r="V18" i="12"/>
  <c r="U18" i="12"/>
  <c r="V49" i="12"/>
  <c r="U49" i="12"/>
  <c r="U57" i="12"/>
  <c r="V57" i="12"/>
  <c r="V14" i="12"/>
  <c r="U14" i="12"/>
  <c r="U53" i="12"/>
  <c r="V53" i="12"/>
  <c r="U16" i="12"/>
  <c r="V16" i="12"/>
  <c r="V55" i="12"/>
  <c r="U55" i="12"/>
  <c r="V11" i="12"/>
  <c r="U11" i="12"/>
  <c r="U58" i="12"/>
  <c r="V58" i="12"/>
  <c r="V6" i="12"/>
  <c r="U6" i="12"/>
  <c r="V43" i="12"/>
  <c r="U43" i="12"/>
  <c r="U44" i="12"/>
  <c r="V44" i="12"/>
  <c r="V8" i="12"/>
  <c r="U8" i="12"/>
  <c r="V9" i="12"/>
  <c r="U9" i="12"/>
  <c r="U19" i="12"/>
  <c r="V19" i="12"/>
  <c r="V50" i="12"/>
  <c r="U50" i="12"/>
  <c r="V12" i="12"/>
  <c r="U12" i="12"/>
  <c r="V20" i="12"/>
  <c r="U20" i="12"/>
  <c r="V51" i="12"/>
  <c r="U51" i="12"/>
  <c r="V59" i="12"/>
  <c r="U59" i="12"/>
  <c r="V7" i="12"/>
  <c r="U7" i="12"/>
  <c r="V54" i="12"/>
  <c r="U54" i="12"/>
  <c r="V4" i="12"/>
  <c r="U4" i="12"/>
  <c r="V13" i="12"/>
  <c r="U13" i="12"/>
  <c r="V21" i="12"/>
  <c r="U21" i="12"/>
  <c r="V52" i="12"/>
  <c r="U52" i="12"/>
  <c r="V63" i="12"/>
  <c r="U63" i="12"/>
  <c r="V25" i="12"/>
  <c r="U25" i="12"/>
  <c r="U35" i="12"/>
  <c r="V35" i="12"/>
  <c r="V33" i="12"/>
  <c r="U33" i="12"/>
  <c r="V26" i="12"/>
  <c r="U26" i="12"/>
  <c r="U27" i="12"/>
  <c r="V27" i="12"/>
  <c r="U38" i="12"/>
  <c r="V38" i="12"/>
  <c r="V29" i="12"/>
  <c r="U29" i="12"/>
  <c r="V39" i="12"/>
  <c r="U39" i="12"/>
  <c r="V30" i="12"/>
  <c r="U30" i="12"/>
  <c r="V31" i="12"/>
  <c r="U31" i="12"/>
  <c r="V41" i="12"/>
  <c r="U41" i="12"/>
  <c r="V34" i="12"/>
  <c r="U34" i="12"/>
  <c r="U28" i="12"/>
  <c r="V28" i="12"/>
  <c r="V40" i="12"/>
  <c r="U40" i="12"/>
  <c r="V32" i="12"/>
  <c r="U32" i="12"/>
  <c r="V42" i="12"/>
  <c r="U42" i="12"/>
  <c r="AH9" i="1"/>
  <c r="AH6" i="1"/>
  <c r="AH5" i="1"/>
  <c r="AH4" i="1"/>
  <c r="AH51" i="1" l="1"/>
  <c r="AH50" i="1"/>
  <c r="AH49" i="1"/>
  <c r="AH48" i="1"/>
  <c r="AH47" i="1"/>
  <c r="AH46" i="1"/>
  <c r="AH45" i="1"/>
  <c r="AH41" i="1"/>
  <c r="AH40" i="1"/>
  <c r="AH39" i="1"/>
  <c r="AH38" i="1"/>
  <c r="N47" i="12" l="1"/>
  <c r="M47" i="12"/>
  <c r="N23" i="12" l="1"/>
  <c r="M23" i="12"/>
  <c r="N36" i="12" l="1"/>
  <c r="M36" i="12"/>
  <c r="R43" i="1" l="1"/>
  <c r="R42" i="1"/>
  <c r="AH42" i="1" l="1"/>
  <c r="AH43" i="1"/>
  <c r="AF9" i="1" l="1"/>
  <c r="AH15" i="1" l="1"/>
  <c r="AH33" i="1" l="1"/>
  <c r="S47" i="12" l="1"/>
  <c r="S60" i="12"/>
  <c r="J63" i="12" l="1"/>
  <c r="I63" i="12"/>
  <c r="J65" i="12" l="1"/>
  <c r="I65" i="12"/>
  <c r="V60" i="12"/>
  <c r="U60" i="12"/>
  <c r="AG8" i="1"/>
  <c r="AG10" i="1" s="1"/>
  <c r="AG11" i="1" l="1"/>
  <c r="R33" i="1" l="1"/>
  <c r="S18" i="1"/>
  <c r="T51" i="1" l="1"/>
  <c r="S51" i="1"/>
  <c r="T49" i="1"/>
  <c r="S49" i="1"/>
  <c r="T48" i="1"/>
  <c r="S48" i="1"/>
  <c r="T47" i="1"/>
  <c r="S47" i="1"/>
  <c r="T46" i="1"/>
  <c r="S46" i="1"/>
  <c r="T33" i="1"/>
  <c r="S33" i="1"/>
  <c r="T32" i="1"/>
  <c r="S32" i="1"/>
  <c r="T31" i="1"/>
  <c r="S31" i="1"/>
  <c r="T27" i="1"/>
  <c r="S27" i="1"/>
  <c r="T26" i="1"/>
  <c r="S26" i="1"/>
  <c r="T25" i="1"/>
  <c r="S25" i="1"/>
  <c r="T21" i="1"/>
  <c r="S21" i="1"/>
  <c r="T18" i="1"/>
  <c r="S14" i="1"/>
  <c r="T13" i="1"/>
  <c r="S13" i="1"/>
  <c r="T6" i="1"/>
  <c r="S6" i="1"/>
  <c r="T5" i="1"/>
  <c r="S5" i="1"/>
  <c r="T4" i="1"/>
  <c r="S4" i="1"/>
  <c r="Q52" i="12" l="1"/>
  <c r="R52" i="12"/>
  <c r="R43" i="12"/>
  <c r="Q43" i="12"/>
  <c r="R34" i="12"/>
  <c r="Q34" i="12"/>
  <c r="Q33" i="12"/>
  <c r="R33" i="12"/>
  <c r="Q32" i="12"/>
  <c r="R32" i="12"/>
  <c r="Q29" i="12"/>
  <c r="R29" i="12"/>
  <c r="R28" i="12"/>
  <c r="Q28" i="12"/>
  <c r="R22" i="12"/>
  <c r="Q22" i="12"/>
  <c r="R18" i="12"/>
  <c r="Q18" i="12"/>
  <c r="R11" i="12"/>
  <c r="Q11" i="12"/>
  <c r="R9" i="12"/>
  <c r="Q9" i="12"/>
  <c r="R8" i="12"/>
  <c r="Q8" i="12"/>
  <c r="Q4" i="12"/>
  <c r="R4" i="12"/>
  <c r="AF46" i="1"/>
  <c r="AF45" i="1"/>
  <c r="AF43" i="1"/>
  <c r="AE43" i="1"/>
  <c r="AF42" i="1"/>
  <c r="AE40" i="1"/>
  <c r="AF40" i="1"/>
  <c r="AE39" i="1"/>
  <c r="AF36" i="1"/>
  <c r="R60" i="12" l="1"/>
  <c r="Q60" i="12"/>
  <c r="R47" i="12"/>
  <c r="Q47" i="12"/>
  <c r="AE6" i="1"/>
  <c r="AE47" i="1"/>
  <c r="AF49" i="1"/>
  <c r="AE38" i="1"/>
  <c r="AF47" i="1"/>
  <c r="AE4" i="1"/>
  <c r="AF6" i="1"/>
  <c r="AE50" i="1"/>
  <c r="AE48" i="1"/>
  <c r="AF50" i="1"/>
  <c r="AF4" i="1"/>
  <c r="AE46" i="1"/>
  <c r="AF48" i="1"/>
  <c r="AE3" i="1"/>
  <c r="AF3" i="1"/>
  <c r="AF5" i="1"/>
  <c r="AF39" i="1"/>
  <c r="AF41" i="1"/>
  <c r="AE41" i="1"/>
  <c r="AE5" i="1"/>
  <c r="AE45" i="1"/>
  <c r="AE49" i="1"/>
  <c r="AF38" i="1"/>
  <c r="AF8" i="1" l="1"/>
  <c r="AE8" i="1"/>
  <c r="AF33" i="1"/>
  <c r="AE33" i="1"/>
  <c r="AE10" i="1" l="1"/>
  <c r="AF10" i="1"/>
  <c r="AF11" i="1" l="1"/>
  <c r="AB49" i="1" l="1"/>
  <c r="AA49" i="1"/>
  <c r="AB48" i="1"/>
  <c r="AA48" i="1"/>
  <c r="AB47" i="1"/>
  <c r="AA47" i="1"/>
  <c r="AB46" i="1"/>
  <c r="AA46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G5" i="3" l="1"/>
  <c r="H5" i="3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V47" i="12" l="1"/>
  <c r="U47" i="12"/>
  <c r="AG15" i="1"/>
  <c r="H64" i="3" l="1"/>
  <c r="I68" i="12" l="1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8" i="3"/>
  <c r="G11" i="3"/>
  <c r="G21" i="3"/>
  <c r="G12" i="3"/>
  <c r="G22" i="3"/>
  <c r="G45" i="3"/>
  <c r="G33" i="3"/>
  <c r="G37" i="3"/>
  <c r="G46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6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G24" i="3" l="1"/>
  <c r="G25" i="3"/>
  <c r="H56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J73" i="12" l="1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AJ47" i="1" l="1"/>
  <c r="AJ49" i="1"/>
  <c r="AJ48" i="1"/>
  <c r="AI48" i="1"/>
  <c r="AI51" i="1"/>
  <c r="AJ46" i="1"/>
  <c r="AI46" i="1"/>
  <c r="AI49" i="1" l="1"/>
  <c r="AI47" i="1"/>
  <c r="AJ51" i="1"/>
  <c r="AE14" i="1" l="1"/>
  <c r="T75" i="12" l="1"/>
  <c r="AF14" i="1"/>
  <c r="V75" i="12" l="1"/>
  <c r="AE23" i="1"/>
  <c r="AF23" i="1"/>
  <c r="AE29" i="1" l="1"/>
  <c r="AF29" i="1"/>
  <c r="AF35" i="1" l="1"/>
  <c r="AE35" i="1"/>
  <c r="AF44" i="1" l="1"/>
  <c r="AE44" i="1"/>
  <c r="AF53" i="1" l="1"/>
  <c r="AE52" i="1"/>
  <c r="AF52" i="1"/>
  <c r="T45" i="1" l="1"/>
  <c r="S45" i="1"/>
  <c r="T43" i="1"/>
  <c r="S43" i="1"/>
  <c r="S39" i="1"/>
  <c r="T39" i="1"/>
  <c r="T50" i="1"/>
  <c r="S50" i="1"/>
  <c r="T41" i="1"/>
  <c r="S41" i="1"/>
  <c r="T42" i="1"/>
  <c r="S42" i="1"/>
  <c r="T38" i="1"/>
  <c r="S38" i="1"/>
  <c r="T40" i="1"/>
  <c r="S40" i="1"/>
  <c r="AA25" i="1" l="1"/>
  <c r="AB25" i="1"/>
  <c r="AA32" i="1"/>
  <c r="AB32" i="1"/>
  <c r="AA26" i="1" l="1"/>
  <c r="AB26" i="1"/>
  <c r="AB31" i="1"/>
  <c r="AA33" i="1" l="1"/>
  <c r="AB33" i="1"/>
  <c r="AB21" i="1" l="1"/>
  <c r="AA21" i="1"/>
  <c r="AA27" i="1" l="1"/>
  <c r="AB27" i="1"/>
  <c r="AA18" i="1" l="1"/>
  <c r="AI14" i="1"/>
  <c r="AB14" i="1"/>
  <c r="AA13" i="1"/>
  <c r="AA14" i="1" l="1"/>
  <c r="AB18" i="1"/>
  <c r="AB13" i="1"/>
  <c r="AF16" i="1" l="1"/>
  <c r="AF13" i="1"/>
  <c r="AE13" i="1"/>
  <c r="AJ13" i="1"/>
  <c r="AI13" i="1" l="1"/>
  <c r="AG16" i="1"/>
  <c r="AF19" i="1"/>
  <c r="AF18" i="1"/>
  <c r="AE18" i="1"/>
  <c r="AJ18" i="1"/>
  <c r="AG19" i="1" l="1"/>
  <c r="AI18" i="1"/>
  <c r="AE21" i="1"/>
  <c r="AF21" i="1"/>
  <c r="AJ21" i="1"/>
  <c r="AG23" i="1" l="1"/>
  <c r="AG29" i="1" s="1"/>
  <c r="AG35" i="1" s="1"/>
  <c r="AI21" i="1"/>
  <c r="AG44" i="1" l="1"/>
  <c r="AE27" i="1"/>
  <c r="AF27" i="1"/>
  <c r="AE25" i="1"/>
  <c r="AF25" i="1"/>
  <c r="AI25" i="1"/>
  <c r="AF26" i="1"/>
  <c r="AI26" i="1"/>
  <c r="AE26" i="1"/>
  <c r="AI27" i="1" l="1"/>
  <c r="AJ26" i="1"/>
  <c r="AJ27" i="1"/>
  <c r="AJ25" i="1"/>
  <c r="AF31" i="1"/>
  <c r="AE32" i="1"/>
  <c r="AF32" i="1"/>
  <c r="AI32" i="1"/>
  <c r="AI31" i="1"/>
  <c r="AJ31" i="1" l="1"/>
  <c r="AG33" i="1"/>
  <c r="AJ32" i="1"/>
  <c r="AI33" i="1" l="1"/>
  <c r="AJ33" i="1"/>
  <c r="AG36" i="1"/>
  <c r="AG52" i="1" l="1"/>
  <c r="AG53" i="1" l="1"/>
  <c r="S36" i="12" l="1"/>
  <c r="S61" i="12" l="1"/>
  <c r="S65" i="12" l="1"/>
  <c r="AB42" i="1" l="1"/>
  <c r="AJ42" i="1" l="1"/>
  <c r="AI42" i="1"/>
  <c r="AJ41" i="1"/>
  <c r="AI41" i="1"/>
  <c r="AB41" i="1"/>
  <c r="AA41" i="1"/>
  <c r="AJ40" i="1" l="1"/>
  <c r="AI40" i="1"/>
  <c r="AB40" i="1"/>
  <c r="AA40" i="1"/>
  <c r="AB39" i="1" l="1"/>
  <c r="AA39" i="1"/>
  <c r="AI39" i="1" l="1"/>
  <c r="AJ39" i="1"/>
  <c r="AB38" i="1" l="1"/>
  <c r="AA38" i="1"/>
  <c r="AI38" i="1" l="1"/>
  <c r="AJ38" i="1"/>
  <c r="AA6" i="1" l="1"/>
  <c r="AB6" i="1"/>
  <c r="AI6" i="1" l="1"/>
  <c r="AJ6" i="1"/>
  <c r="AB5" i="1"/>
  <c r="AA5" i="1"/>
  <c r="AB4" i="1"/>
  <c r="AA4" i="1"/>
  <c r="AI5" i="1" l="1"/>
  <c r="AJ5" i="1"/>
  <c r="AJ4" i="1"/>
  <c r="AI4" i="1"/>
  <c r="AA3" i="1"/>
  <c r="AB3" i="1"/>
  <c r="AB16" i="1" l="1"/>
  <c r="AB19" i="1"/>
  <c r="AA8" i="1"/>
  <c r="AB8" i="1"/>
  <c r="AB50" i="1" l="1"/>
  <c r="AA50" i="1"/>
  <c r="AB11" i="1"/>
  <c r="AA10" i="1"/>
  <c r="AB10" i="1"/>
  <c r="AJ50" i="1" l="1"/>
  <c r="AI50" i="1"/>
  <c r="AB23" i="1"/>
  <c r="AA23" i="1"/>
  <c r="AB29" i="1" l="1"/>
  <c r="AA29" i="1"/>
  <c r="AB36" i="1" l="1"/>
  <c r="AA35" i="1"/>
  <c r="AB35" i="1"/>
  <c r="AB45" i="1" l="1"/>
  <c r="AA45" i="1"/>
  <c r="AA43" i="1"/>
  <c r="AB43" i="1"/>
  <c r="AJ45" i="1" l="1"/>
  <c r="AI45" i="1"/>
  <c r="AJ43" i="1"/>
  <c r="AI43" i="1"/>
  <c r="AB44" i="1"/>
  <c r="AA44" i="1"/>
  <c r="AB53" i="1" l="1"/>
  <c r="AA52" i="1"/>
  <c r="AB52" i="1"/>
  <c r="G31" i="3" l="1"/>
  <c r="H31" i="3"/>
  <c r="F67" i="3" l="1"/>
  <c r="H54" i="3"/>
  <c r="G54" i="3"/>
  <c r="F68" i="3" l="1"/>
  <c r="G67" i="3"/>
  <c r="H67" i="3"/>
  <c r="T70" i="12" l="1"/>
  <c r="R10" i="12" l="1"/>
  <c r="Q10" i="12"/>
  <c r="U23" i="12"/>
  <c r="V23" i="12"/>
  <c r="V70" i="12"/>
  <c r="Q23" i="12" l="1"/>
  <c r="R23" i="12"/>
  <c r="R30" i="12" l="1"/>
  <c r="Q30" i="12"/>
  <c r="T71" i="12"/>
  <c r="V36" i="12" l="1"/>
  <c r="U36" i="12"/>
  <c r="V71" i="12"/>
  <c r="T74" i="12"/>
  <c r="Q27" i="12" l="1"/>
  <c r="R27" i="12"/>
  <c r="V61" i="12"/>
  <c r="U61" i="12"/>
  <c r="R36" i="12"/>
  <c r="Q36" i="12"/>
  <c r="V74" i="12"/>
  <c r="T76" i="12"/>
  <c r="V76" i="12" s="1"/>
  <c r="V65" i="12" l="1"/>
  <c r="U65" i="12"/>
  <c r="R61" i="12"/>
  <c r="Q61" i="12"/>
  <c r="R65" i="12" l="1"/>
  <c r="Q65" i="12"/>
  <c r="R8" i="1" l="1"/>
  <c r="S3" i="1"/>
  <c r="T3" i="1"/>
  <c r="R10" i="1" l="1"/>
  <c r="T10" i="1" s="1"/>
  <c r="R19" i="1"/>
  <c r="T19" i="1" s="1"/>
  <c r="R16" i="1"/>
  <c r="T16" i="1" s="1"/>
  <c r="S8" i="1"/>
  <c r="T8" i="1"/>
  <c r="AI3" i="1"/>
  <c r="AJ3" i="1"/>
  <c r="AH8" i="1"/>
  <c r="S10" i="1" l="1"/>
  <c r="R23" i="1"/>
  <c r="R29" i="1" s="1"/>
  <c r="R11" i="1"/>
  <c r="T11" i="1" s="1"/>
  <c r="T23" i="1"/>
  <c r="AH16" i="1"/>
  <c r="AJ16" i="1" s="1"/>
  <c r="AJ8" i="1"/>
  <c r="AH19" i="1"/>
  <c r="AJ19" i="1" s="1"/>
  <c r="AH10" i="1"/>
  <c r="AI8" i="1"/>
  <c r="S23" i="1" l="1"/>
  <c r="R35" i="1"/>
  <c r="T29" i="1"/>
  <c r="S29" i="1"/>
  <c r="AJ10" i="1"/>
  <c r="AH23" i="1"/>
  <c r="AH11" i="1"/>
  <c r="AJ11" i="1" s="1"/>
  <c r="AI10" i="1"/>
  <c r="R44" i="1" l="1"/>
  <c r="T35" i="1"/>
  <c r="S35" i="1"/>
  <c r="R36" i="1"/>
  <c r="T36" i="1" s="1"/>
  <c r="AH29" i="1"/>
  <c r="AI23" i="1"/>
  <c r="AJ23" i="1"/>
  <c r="R52" i="1" l="1"/>
  <c r="S44" i="1"/>
  <c r="T44" i="1"/>
  <c r="AH35" i="1"/>
  <c r="AJ29" i="1"/>
  <c r="AI29" i="1"/>
  <c r="S52" i="1" l="1"/>
  <c r="T52" i="1"/>
  <c r="R53" i="1"/>
  <c r="T53" i="1" s="1"/>
  <c r="AI35" i="1"/>
  <c r="AJ35" i="1"/>
  <c r="AH36" i="1"/>
  <c r="AJ36" i="1" s="1"/>
  <c r="AH44" i="1"/>
  <c r="AJ44" i="1" l="1"/>
  <c r="AH52" i="1"/>
  <c r="AI44" i="1"/>
  <c r="AH53" i="1" l="1"/>
  <c r="AJ53" i="1" s="1"/>
  <c r="AI52" i="1"/>
  <c r="AJ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tc={F88EE2BD-79A2-41E9-8FB6-6203FD370738}</author>
  </authors>
  <commentList>
    <comment ref="A9" authorId="0" shapeId="0" xr:uid="{F88EE2BD-79A2-41E9-8FB6-6203FD370738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CMV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<sst xmlns="http://schemas.openxmlformats.org/spreadsheetml/2006/main" count="926" uniqueCount="612">
  <si>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</si>
  <si>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</si>
  <si>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</si>
  <si>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</si>
  <si>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</si>
  <si>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</si>
  <si>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</si>
  <si>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</si>
  <si>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</si>
  <si>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</si>
  <si>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</si>
  <si>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</si>
  <si>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</si>
  <si>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</si>
  <si>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</si>
  <si>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</si>
  <si>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</si>
  <si>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</si>
  <si>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</si>
  <si>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</si>
  <si>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</si>
  <si>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</si>
  <si>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</si>
  <si>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</si>
  <si>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</si>
  <si>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</si>
  <si>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</si>
  <si>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</si>
  <si>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</si>
  <si>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</si>
  <si>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</si>
  <si>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</si>
  <si>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</si>
  <si>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</si>
  <si>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</si>
  <si>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</si>
  <si>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</si>
  <si>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</si>
  <si>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</si>
  <si>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</si>
  <si>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</si>
  <si>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</si>
  <si>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</si>
  <si>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</si>
  <si>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</si>
  <si>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</si>
  <si>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</si>
  <si>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</si>
  <si>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</si>
  <si>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</si>
  <si>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</si>
  <si>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</si>
  <si>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</si>
  <si>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</si>
  <si>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</si>
  <si>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</si>
  <si>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</si>
  <si>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</si>
  <si>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</si>
  <si>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</si>
  <si>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</si>
  <si>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</si>
  <si>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</si>
  <si>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</si>
  <si>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</si>
  <si>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</si>
  <si>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</si>
  <si>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</si>
  <si>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</si>
  <si>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</si>
  <si>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</si>
  <si>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</si>
  <si>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</si>
  <si>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</si>
  <si>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</si>
  <si>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</si>
  <si>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</si>
  <si>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</si>
  <si>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</si>
  <si>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</si>
  <si>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</si>
  <si>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</si>
  <si>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</si>
  <si>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</si>
  <si>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</si>
  <si>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</si>
  <si>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</si>
  <si>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</si>
  <si>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</si>
  <si>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</si>
  <si>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</si>
  <si>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</si>
  <si>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</si>
  <si>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</si>
  <si>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</si>
  <si>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</si>
  <si>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</si>
  <si>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</si>
  <si>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</si>
  <si>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</si>
  <si>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</si>
  <si>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</si>
  <si>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</si>
  <si>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</si>
  <si>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</si>
  <si>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</si>
  <si>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</si>
  <si>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</si>
  <si>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</si>
  <si>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</si>
  <si>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</si>
  <si>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</si>
  <si>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</si>
  <si>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</si>
  <si>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</si>
  <si>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</si>
  <si>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</si>
  <si>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</si>
  <si>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</si>
  <si>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</si>
  <si>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</si>
  <si>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</si>
  <si>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</si>
  <si>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</si>
  <si>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</si>
  <si>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</si>
  <si>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</si>
  <si>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</si>
  <si>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</si>
  <si>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</si>
  <si>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</si>
  <si>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</si>
  <si>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</si>
  <si>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</si>
  <si>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</si>
  <si>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</si>
  <si>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</si>
  <si>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</si>
  <si>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</si>
  <si>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</si>
  <si>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</si>
  <si>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</si>
  <si>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</si>
  <si>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</si>
  <si>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</si>
  <si>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</si>
  <si>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</si>
  <si>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</si>
  <si>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</si>
  <si>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</si>
  <si>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</si>
  <si>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</si>
  <si>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</si>
  <si>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</si>
  <si>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</si>
  <si>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</si>
  <si>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</si>
  <si>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</si>
  <si>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</si>
  <si>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</si>
  <si>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</si>
  <si>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</si>
  <si>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</si>
  <si>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</si>
  <si>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</si>
  <si>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</si>
  <si>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</si>
  <si>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</si>
  <si>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</si>
  <si>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</si>
  <si>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</si>
  <si>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</si>
  <si>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</si>
  <si>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</si>
  <si>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</si>
  <si>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</si>
  <si>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</si>
  <si>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</si>
  <si>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</si>
  <si>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</si>
  <si>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</si>
  <si>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</si>
  <si>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</si>
  <si>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</si>
  <si>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</si>
  <si>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</si>
  <si>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</si>
  <si>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</si>
  <si>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</si>
  <si>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</si>
  <si>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</si>
  <si>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</si>
  <si>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</si>
  <si>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</si>
  <si>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</si>
  <si>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</si>
  <si>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</si>
  <si>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</si>
  <si>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</si>
  <si>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</si>
  <si>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</si>
  <si>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</si>
  <si>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</si>
  <si>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</si>
  <si>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</si>
  <si>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</si>
  <si>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</si>
  <si>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</si>
  <si>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</si>
  <si>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</si>
  <si>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</si>
  <si>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</si>
  <si>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</si>
  <si>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</si>
  <si>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</si>
  <si>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</si>
  <si>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</si>
  <si>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</si>
  <si>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</si>
  <si>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</si>
  <si>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</si>
  <si>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</si>
  <si>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</si>
  <si>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</si>
  <si>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</si>
  <si>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</si>
  <si>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</si>
  <si>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</si>
  <si>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</si>
  <si>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</si>
  <si>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</si>
  <si>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</si>
  <si>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</si>
  <si>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</si>
  <si>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</si>
  <si>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</si>
  <si>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</si>
  <si>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</si>
  <si>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</si>
  <si>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</si>
  <si>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</si>
  <si>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</si>
  <si>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</si>
  <si>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</si>
  <si>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</si>
  <si>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</si>
  <si>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</si>
  <si>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</si>
  <si>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</si>
  <si>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</si>
  <si>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</si>
  <si>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</si>
  <si>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</si>
  <si>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</si>
  <si>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</si>
  <si>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</si>
  <si>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</si>
  <si>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</si>
  <si>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</si>
  <si>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</si>
  <si>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</si>
  <si>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</si>
  <si>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</si>
  <si>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</si>
  <si>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</si>
  <si>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</si>
  <si>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</si>
  <si>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</si>
  <si>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</si>
  <si>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</si>
  <si>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</si>
  <si>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</si>
  <si>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</si>
  <si>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</si>
  <si>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</si>
  <si>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</si>
  <si>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</si>
  <si>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</si>
  <si>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</si>
  <si>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</si>
  <si>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</si>
  <si>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</si>
  <si>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</si>
  <si>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</si>
  <si>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</si>
  <si>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</si>
  <si>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</si>
  <si>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</si>
  <si>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</si>
  <si>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</si>
  <si>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</si>
  <si>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</si>
  <si>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</si>
  <si>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</si>
  <si>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</si>
  <si>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</si>
  <si>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</si>
  <si>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</si>
  <si>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</si>
  <si>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</si>
  <si>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</si>
  <si>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</si>
  <si>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</si>
  <si>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</si>
  <si>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</si>
  <si>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</si>
  <si>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</si>
  <si>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</si>
  <si>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</si>
  <si>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</si>
  <si>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</si>
  <si>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</si>
  <si>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</si>
  <si>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</si>
  <si>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</si>
  <si>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</si>
  <si>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</si>
  <si>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</si>
  <si>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</si>
  <si>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</si>
  <si>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</si>
  <si>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</si>
  <si>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</si>
  <si>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</si>
  <si>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</si>
  <si>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</si>
  <si>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</si>
  <si>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</si>
  <si>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</si>
  <si>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</si>
  <si>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</si>
  <si>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</si>
  <si>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</si>
  <si>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</si>
  <si>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</si>
  <si>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</si>
  <si>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</si>
  <si>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</si>
  <si>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</si>
  <si>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</si>
  <si>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</si>
  <si>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</si>
  <si>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</si>
  <si>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</si>
  <si>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</si>
  <si>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</si>
  <si>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</si>
  <si>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</si>
  <si>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</si>
  <si>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</si>
  <si>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</si>
  <si>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</si>
  <si>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</si>
  <si>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</si>
  <si>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</si>
  <si>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</si>
  <si>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</si>
  <si>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</si>
  <si>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</si>
  <si>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</si>
  <si>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</si>
  <si>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</si>
  <si>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</si>
  <si>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</si>
  <si>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</si>
  <si>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</si>
  <si>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</si>
  <si>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</si>
  <si>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</si>
  <si>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</si>
  <si>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</si>
  <si>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</si>
  <si>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</si>
  <si>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</si>
  <si>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</si>
  <si>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</si>
  <si>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</si>
  <si>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</si>
  <si>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</si>
  <si>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</si>
  <si>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</si>
  <si>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</si>
  <si>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</si>
  <si>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</si>
  <si>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</si>
  <si>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</si>
  <si>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</si>
  <si>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</si>
  <si>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</si>
  <si>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</si>
  <si>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</si>
  <si>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</si>
  <si>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</si>
  <si>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</si>
  <si>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</si>
  <si>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</si>
  <si>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</si>
  <si>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</si>
  <si>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</si>
  <si>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</si>
  <si>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</si>
  <si>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</si>
  <si>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</si>
  <si>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</si>
  <si>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</si>
  <si>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</si>
  <si>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Balanço Patrimonial (R$ mil)</t>
  </si>
  <si>
    <t>Instrumentos financeiros derivativos</t>
  </si>
  <si>
    <t>Empréstimos</t>
  </si>
  <si>
    <t>Dividendo adicional proposto</t>
  </si>
  <si>
    <t>Fluxo de Caixa (R$ mil)</t>
  </si>
  <si>
    <t>Baixa de contas a receber por execução de garantia sem geração de caixa</t>
  </si>
  <si>
    <t>Aquisição de participação societária</t>
  </si>
  <si>
    <t>Outras despesas de juros e variação cambial</t>
  </si>
  <si>
    <t>Provisão para redução ao valor recuperável do ágio (impairment)</t>
  </si>
  <si>
    <t>Ajuste a valor de mercado em ativos não circulantes disponíveis para venda</t>
  </si>
  <si>
    <t>Depósitos vinculados em garantia a empréstimos - caixa restrito</t>
  </si>
  <si>
    <t>Arrendamento contratado</t>
  </si>
  <si>
    <t>Arrendamento pago</t>
  </si>
  <si>
    <t>Reversão de provisão de estoque por baixa</t>
  </si>
  <si>
    <t>Reserva de lucro de incentivo fiscal reflexa</t>
  </si>
  <si>
    <t>Lucro (Prejuízo) no período</t>
  </si>
  <si>
    <t>Exercício de plano de opção - Stock Option</t>
  </si>
  <si>
    <t>Obrigações a pagar por aquisição de mercadoria</t>
  </si>
  <si>
    <t>1T24</t>
  </si>
  <si>
    <t>2T24</t>
  </si>
  <si>
    <t>3T24</t>
  </si>
  <si>
    <t>4T24</t>
  </si>
  <si>
    <t>Caixa e equivalentes de caixa (nota 4)</t>
  </si>
  <si>
    <t>Caixa restrito (nota 5)</t>
  </si>
  <si>
    <t>Contas a receber de clientes (nota 7)</t>
  </si>
  <si>
    <t>Estoques (nota 8)</t>
  </si>
  <si>
    <t>IR/CSL a recuperar (15)</t>
  </si>
  <si>
    <t>Impostos a recuperar (15)</t>
  </si>
  <si>
    <t>Instrumentos financeiros derivativos (nota 23)</t>
  </si>
  <si>
    <t>Títulos e valores mobiliários (nota 6)</t>
  </si>
  <si>
    <t>Depósitos judiciais (14)</t>
  </si>
  <si>
    <t>Instrumentos financeiros derivativos (23)</t>
  </si>
  <si>
    <t>Intangível (nota 10)</t>
  </si>
  <si>
    <t>Imobilizado (nota 11)</t>
  </si>
  <si>
    <t>Empréstimos  (Nota 12)</t>
  </si>
  <si>
    <t>Fornecedores (Nota 14,)</t>
  </si>
  <si>
    <t>Impostos e  taxas a pagar (Nota 16)</t>
  </si>
  <si>
    <t>IR e Contribuições retidos na fonte (Nota 16)</t>
  </si>
  <si>
    <t>Valor a pagar por aquisição de participação de não controlador (6)</t>
  </si>
  <si>
    <t>Dividendos a pagar (nota 15)</t>
  </si>
  <si>
    <t xml:space="preserve"> Arrendamento  a pagar (nota 13)</t>
  </si>
  <si>
    <t>Provisão para honorários de êxito (16)</t>
  </si>
  <si>
    <t>Contas a pagar - cessão de direitos creditórios (nota 15)</t>
  </si>
  <si>
    <t>Imposto de renda e contribuição social diferidos (nota 16)</t>
  </si>
  <si>
    <t>Impostos, taxas e contribuições sociais a pagar (Nota 16)</t>
  </si>
  <si>
    <t>Provisão para contingências (nota 15)</t>
  </si>
  <si>
    <t>Valor a pagar por aquisição de participação societária </t>
  </si>
  <si>
    <t>Arrendamento a pagar (nota 13)</t>
  </si>
  <si>
    <t>Ações em tesouraria</t>
  </si>
  <si>
    <t>Lucro (prejuízo) no período</t>
  </si>
  <si>
    <t>Provisão (reversão) para valor recuperável de contas a receber</t>
  </si>
  <si>
    <t>Impairment (reversão) de bens do ativo imobilizado e intangivel</t>
  </si>
  <si>
    <t>Caixa restrito</t>
  </si>
  <si>
    <t>Indenização recebida em aquisição de participação societária</t>
  </si>
  <si>
    <t>Reversão de ágio em aquisição de participação societária</t>
  </si>
  <si>
    <t>Aquisição de ações próprias mantidas em tesouraria</t>
  </si>
  <si>
    <t>Empréstimos pagos</t>
  </si>
  <si>
    <t>N/A</t>
  </si>
  <si>
    <t>1T25</t>
  </si>
  <si>
    <t>2T25</t>
  </si>
  <si>
    <t>3T25</t>
  </si>
  <si>
    <t>4T25</t>
  </si>
  <si>
    <t>31/06/2024</t>
  </si>
  <si>
    <t>31/06/2025</t>
  </si>
  <si>
    <t>Gross operational revenue</t>
  </si>
  <si>
    <t>Adjustment to present value on revenue</t>
  </si>
  <si>
    <t>Taxes Sales</t>
  </si>
  <si>
    <t>Adjustment to present value on taxes</t>
  </si>
  <si>
    <t>Net operational revenue</t>
  </si>
  <si>
    <t>Gross profit</t>
  </si>
  <si>
    <t>Gross margin</t>
  </si>
  <si>
    <t>Sales expenses</t>
  </si>
  <si>
    <t>Provision of trade receivable</t>
  </si>
  <si>
    <t>Impairment of trade receivable</t>
  </si>
  <si>
    <t xml:space="preserve">% of net revenue </t>
  </si>
  <si>
    <t>Administrative expenses</t>
  </si>
  <si>
    <t xml:space="preserve">Other operational results, net </t>
  </si>
  <si>
    <t>Operational profit</t>
  </si>
  <si>
    <t>Financial expenses</t>
  </si>
  <si>
    <t>Financial income</t>
  </si>
  <si>
    <t xml:space="preserve">Financial result, net </t>
  </si>
  <si>
    <t>Income before income tax and social contributions</t>
  </si>
  <si>
    <t>Current</t>
  </si>
  <si>
    <t>Deferred</t>
  </si>
  <si>
    <t>Income tax and social contributions</t>
  </si>
  <si>
    <t>Net income</t>
  </si>
  <si>
    <t>Net margin</t>
  </si>
  <si>
    <t>Depreciation and amortization</t>
  </si>
  <si>
    <t xml:space="preserve">Financial income without APV </t>
  </si>
  <si>
    <t>Financial income from APV</t>
  </si>
  <si>
    <t>Current taxes</t>
  </si>
  <si>
    <t>Deferred taxes</t>
  </si>
  <si>
    <t>Provision for non-recurring contingencies</t>
  </si>
  <si>
    <t>Other non-recurring</t>
  </si>
  <si>
    <t>Escrow recovery</t>
  </si>
  <si>
    <t>Realization at fair value of Dumont's inventory</t>
  </si>
  <si>
    <t>Other non-cash expenses</t>
  </si>
  <si>
    <t xml:space="preserve">Impact of APV on operational result </t>
  </si>
  <si>
    <t>Extraordinary impacts</t>
  </si>
  <si>
    <t xml:space="preserve">Adjusted EBITDA </t>
  </si>
  <si>
    <t>Ebitda Margin</t>
  </si>
  <si>
    <t>Assets</t>
  </si>
  <si>
    <t>Current assets</t>
  </si>
  <si>
    <t>Cash and cash equivalents</t>
  </si>
  <si>
    <t>Restricted cash</t>
  </si>
  <si>
    <t>Marketable securities</t>
  </si>
  <si>
    <t>Accounts Receivable</t>
  </si>
  <si>
    <t xml:space="preserve">Dividends receivable </t>
  </si>
  <si>
    <t>Inventories</t>
  </si>
  <si>
    <t>IR/CSL recoverable</t>
  </si>
  <si>
    <t xml:space="preserve">Recoverable taxes </t>
  </si>
  <si>
    <t>Derivative financial instruments</t>
  </si>
  <si>
    <t>Other assets</t>
  </si>
  <si>
    <t>Non-current assets held for sale</t>
  </si>
  <si>
    <t xml:space="preserve">Non-current assets </t>
  </si>
  <si>
    <t>Bound deposits</t>
  </si>
  <si>
    <t>Advances to suppliers</t>
  </si>
  <si>
    <t xml:space="preserve">
Marketable securities</t>
  </si>
  <si>
    <t>Judicial deposits</t>
  </si>
  <si>
    <t>Investments</t>
  </si>
  <si>
    <t>Intangible</t>
  </si>
  <si>
    <t>Property and equipment</t>
  </si>
  <si>
    <t>Total assets</t>
  </si>
  <si>
    <t>Equity and liabilities</t>
  </si>
  <si>
    <t>Current liabilities</t>
  </si>
  <si>
    <t>Amount payable for acquisition of preferred shares - FIP</t>
  </si>
  <si>
    <t>Borrowings</t>
  </si>
  <si>
    <t>Suppliers</t>
  </si>
  <si>
    <t>Taxes, rates and social contributions payable</t>
  </si>
  <si>
    <t>Deferred income tax and social contributions</t>
  </si>
  <si>
    <t xml:space="preserve">Amount payable for acquisition of noncontrolling interest </t>
  </si>
  <si>
    <t>Salaries and social charges  payable</t>
  </si>
  <si>
    <t xml:space="preserve">Dividends payable </t>
  </si>
  <si>
    <t>Lease payable</t>
  </si>
  <si>
    <t xml:space="preserve">Other payables </t>
  </si>
  <si>
    <t>Provision for fees</t>
  </si>
  <si>
    <t>Accounts payable - assignment of credit rights</t>
  </si>
  <si>
    <t>Non-current liabilities</t>
  </si>
  <si>
    <t>Provision for contingencies</t>
  </si>
  <si>
    <t xml:space="preserve">Licenses payable </t>
  </si>
  <si>
    <t>Total liabilities</t>
  </si>
  <si>
    <t>Equity attributable to the parent company's owners</t>
  </si>
  <si>
    <t>Capital</t>
  </si>
  <si>
    <t>Treasury Shares</t>
  </si>
  <si>
    <t>Share issuance expenses</t>
  </si>
  <si>
    <t>Capital reserves</t>
  </si>
  <si>
    <t>Revenue reserves</t>
  </si>
  <si>
    <t xml:space="preserve">Carrying value adjustment </t>
  </si>
  <si>
    <t>Proposed additional dividend</t>
  </si>
  <si>
    <t>Reflex tax incentive profit reserve</t>
  </si>
  <si>
    <t>Total equity</t>
  </si>
  <si>
    <t>Total equity and liabilities</t>
  </si>
  <si>
    <t xml:space="preserve">Cash flows from operational activities </t>
  </si>
  <si>
    <t xml:space="preserve">Adjustments for items that do not affect cash flow </t>
  </si>
  <si>
    <t>Amortization and depreciation</t>
  </si>
  <si>
    <t>Goodwill amortization</t>
  </si>
  <si>
    <t>Allowance for recoverable value of inventories</t>
  </si>
  <si>
    <t xml:space="preserve">Allowance for recoverable value of accounts receivable </t>
  </si>
  <si>
    <t>Reversal of stock provision</t>
  </si>
  <si>
    <t>Write-off of accounts receivable for foreclosure of guarantees without generation of cash</t>
  </si>
  <si>
    <t>Adjustment to market value in noncurrent assets available for sale</t>
  </si>
  <si>
    <t xml:space="preserve">Allowance for contingencies (reversal) </t>
  </si>
  <si>
    <t>Results from disposal of permanent assets</t>
  </si>
  <si>
    <t>Impairment of permanent assets</t>
  </si>
  <si>
    <t>Provision for impairment of goodwill</t>
  </si>
  <si>
    <t>Interest on loans</t>
  </si>
  <si>
    <t>Other interest expenses and exchange variation</t>
  </si>
  <si>
    <t>Stock option premium</t>
  </si>
  <si>
    <t>Noncontrolling interest</t>
  </si>
  <si>
    <t>Others</t>
  </si>
  <si>
    <t>Changes in assets and liabilities</t>
  </si>
  <si>
    <t xml:space="preserve">Decrease (increase) in marketable securities </t>
  </si>
  <si>
    <t xml:space="preserve">Decrease (increase) in accounts receivable </t>
  </si>
  <si>
    <t>Decrease (increase) in inventories</t>
  </si>
  <si>
    <t xml:space="preserve">Decrease (increase) in recoverable taxes  </t>
  </si>
  <si>
    <t xml:space="preserve">Decrease (increase) in other assets </t>
  </si>
  <si>
    <t xml:space="preserve">Increase (decrease) in suppliers and accounts payable </t>
  </si>
  <si>
    <t xml:space="preserve">Increase (decrease) in salaries and social charges payable </t>
  </si>
  <si>
    <t xml:space="preserve">Increase (decrease) in taxes, rates and social contributions payable </t>
  </si>
  <si>
    <t>Interest paid</t>
  </si>
  <si>
    <t>Income tax and social contributions paid</t>
  </si>
  <si>
    <t xml:space="preserve">Net cash (applied in) generated by operational activities </t>
  </si>
  <si>
    <t>Cash flow from investment activities</t>
  </si>
  <si>
    <t>Reversal of goodwill from acquisition of equity interest</t>
  </si>
  <si>
    <t>Acquisition of noncontrolling interest</t>
  </si>
  <si>
    <t xml:space="preserve">Acquisition of equity interest </t>
  </si>
  <si>
    <t>Restrict Cash</t>
  </si>
  <si>
    <t>Purchases of fixed assets</t>
  </si>
  <si>
    <t xml:space="preserve">Amount received from the sale of fixed assets </t>
  </si>
  <si>
    <t>Purchases of intangible assets</t>
  </si>
  <si>
    <t xml:space="preserve">Indemnities received </t>
  </si>
  <si>
    <t>Net cash (applied in) generated by investment activities</t>
  </si>
  <si>
    <t xml:space="preserve">Cash flow from financial activities </t>
  </si>
  <si>
    <t>Acquistion of shares held in treasury</t>
  </si>
  <si>
    <t>Payment of Capital</t>
  </si>
  <si>
    <t xml:space="preserve">Expenses from issuance of shares payable </t>
  </si>
  <si>
    <t>Dividends paid to Company shareholders</t>
  </si>
  <si>
    <t>Payment of borrowings</t>
  </si>
  <si>
    <t>Lease contracted</t>
  </si>
  <si>
    <t>Lease paid</t>
  </si>
  <si>
    <t xml:space="preserve">Dividends paid to noncontrolling shareholders </t>
  </si>
  <si>
    <t>Option Plan Exercise - Stock option</t>
  </si>
  <si>
    <t>Net cash generated (applied) in financing activities</t>
  </si>
  <si>
    <t>Increase (decrease) in cash and cash equivalents</t>
  </si>
  <si>
    <t>Cash and cash equivalents at the beginning of the period</t>
  </si>
  <si>
    <t>Cash and cash equivalents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</si>
</sst>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  <font>
      <sz val="9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1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0" fontId="76" fillId="3" borderId="4" xfId="0" applyFont="1" applyFill="1" applyBorder="1" applyAlignment="1">
      <alignment horizontal="left"/>
    </xf>
    <xf numFmtId="0" fontId="76" fillId="3" borderId="5" xfId="0" applyFont="1" applyFill="1" applyBorder="1" applyAlignment="1">
      <alignment horizontal="lef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8" fillId="0" borderId="5" xfId="0" applyNumberFormat="1" applyFont="1" applyBorder="1" applyAlignment="1">
      <alignment horizontal="right"/>
    </xf>
    <xf numFmtId="211" fontId="0" fillId="0" borderId="0" xfId="0" applyNumberFormat="1"/>
    <xf numFmtId="0" fontId="79" fillId="0" borderId="0" xfId="0" applyFont="1"/>
    <xf numFmtId="0" fontId="69" fillId="3" borderId="0" xfId="0" applyFont="1" applyFill="1"/>
    <xf numFmtId="0" fontId="2" fillId="3" borderId="0" xfId="0" applyFont="1" applyFill="1"/>
    <xf numFmtId="0" fontId="69" fillId="0" borderId="0" xfId="0" applyFont="1"/>
    <xf numFmtId="3" fontId="4" fillId="0" borderId="5" xfId="1" applyNumberFormat="1" applyFont="1" applyFill="1" applyBorder="1" applyAlignment="1">
      <alignment horizontal="right"/>
    </xf>
    <xf numFmtId="4" fontId="0" fillId="0" borderId="0" xfId="0" applyNumberFormat="1"/>
    <xf numFmtId="0" fontId="38" fillId="0" borderId="0" xfId="0" applyFont="1"/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61" fillId="0" borderId="0" xfId="0" applyFont="1" applyAlignment="1">
      <alignment wrapText="1"/>
    </xf>
    <xf numFmtId="0" fontId="61" fillId="0" borderId="14" xfId="0" applyFont="1" applyBorder="1" applyAlignment="1">
      <alignment horizontal="right"/>
    </xf>
    <xf numFmtId="0" fontId="61" fillId="0" borderId="0" xfId="0" applyFont="1"/>
    <xf numFmtId="0" fontId="38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16934</xdr:rowOff>
    </xdr:from>
    <xdr:to>
      <xdr:col>43</xdr:col>
      <xdr:colOff>472721</xdr:colOff>
      <xdr:row>1</xdr:row>
      <xdr:rowOff>24897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16934"/>
          <a:ext cx="18007188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342195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9903722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740833</xdr:colOff>
      <xdr:row>0</xdr:row>
      <xdr:rowOff>1485900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5595985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3-10-26T14:26:00.01" personId="{100A62A3-A899-4147-BFE5-341E9694FB10}" id="{F88EE2BD-79A2-41E9-8FB6-6203FD370738}">
    <text>CMV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4"/>
  <cols>
    <col min="1" max="1" width="43.5546875" bestFit="1" customWidth="1"/>
    <col min="2" max="2" width="1.88671875" customWidth="1"/>
    <col min="3" max="3" width="14.109375" bestFit="1" customWidth="1"/>
    <col min="4" max="4" width="1.109375" customWidth="1"/>
    <col min="5" max="5" width="14.88671875" customWidth="1"/>
    <col min="6" max="6" width="5.44140625" bestFit="1" customWidth="1"/>
    <col min="7" max="7" width="13.88671875" customWidth="1"/>
    <col min="8" max="8" width="2.5546875" customWidth="1"/>
    <col min="9" max="9" width="10.5546875" customWidth="1"/>
    <col min="10" max="10" width="11.109375" customWidth="1"/>
    <col min="11" max="11" width="47.44140625" bestFit="1" customWidth="1"/>
    <col min="12" max="12" width="13.88671875" bestFit="1" customWidth="1"/>
    <col min="13" max="13" width="2.109375" customWidth="1"/>
    <col min="14" max="14" width="11.109375" bestFit="1" customWidth="1"/>
    <col min="15" max="15" width="2" customWidth="1"/>
    <col min="16" max="16" width="13.88671875" bestFit="1" customWidth="1"/>
    <col min="17" max="17" width="1.88671875" customWidth="1"/>
    <col min="18" max="18" width="11.109375" bestFit="1" customWidth="1"/>
    <col min="19" max="19" width="13.109375" customWidth="1"/>
  </cols>
  <sheetData>
    <row r="1" spans="1:23" ht="15" thickBot="1">
      <c r="A1" s="204"/>
      <c r="B1" s="204"/>
      <c r="C1" s="404" t="s">
        <v>263</v>
      </c>
      <c r="D1" s="404"/>
      <c r="E1" s="404"/>
      <c r="F1" s="204"/>
      <c r="G1" s="404" t="s">
        <v>264</v>
      </c>
      <c r="H1" s="404"/>
      <c r="I1" s="404"/>
      <c r="J1" s="52"/>
      <c r="K1" s="204"/>
      <c r="L1" s="404" t="s">
        <v>263</v>
      </c>
      <c r="M1" s="404"/>
      <c r="N1" s="404"/>
      <c r="O1" s="204"/>
      <c r="P1" s="404" t="s">
        <v>264</v>
      </c>
      <c r="Q1" s="404"/>
      <c r="R1" s="404"/>
      <c r="S1" s="205"/>
    </row>
    <row r="2" spans="1:23">
      <c r="A2" s="204"/>
      <c r="B2" s="204"/>
      <c r="C2" s="204"/>
      <c r="D2" s="209"/>
      <c r="E2" s="204"/>
      <c r="F2" s="204"/>
      <c r="G2" s="204"/>
      <c r="H2" s="209"/>
      <c r="I2" s="204"/>
      <c r="J2" s="52"/>
      <c r="K2" s="204"/>
      <c r="L2" s="204"/>
      <c r="M2" s="204"/>
      <c r="N2" s="204"/>
      <c r="O2" s="204"/>
      <c r="P2" s="204"/>
      <c r="Q2" s="225"/>
      <c r="R2" s="204"/>
      <c r="S2" s="225"/>
    </row>
    <row r="3" spans="1:23" ht="15" customHeight="1">
      <c r="A3" s="405" t="s">
        <v>29</v>
      </c>
      <c r="B3" s="400"/>
      <c r="C3" s="280" t="s">
        <v>399</v>
      </c>
      <c r="D3" s="400"/>
      <c r="E3" s="401" t="s">
        <v>291</v>
      </c>
      <c r="F3" s="400"/>
      <c r="G3" s="280" t="s">
        <v>399</v>
      </c>
      <c r="H3" s="400"/>
      <c r="I3" s="401" t="s">
        <v>291</v>
      </c>
      <c r="J3" s="406"/>
      <c r="K3" s="405" t="s">
        <v>38</v>
      </c>
      <c r="L3" s="280" t="s">
        <v>290</v>
      </c>
      <c r="M3" s="400"/>
      <c r="N3" s="401" t="s">
        <v>291</v>
      </c>
      <c r="O3" s="400"/>
      <c r="P3" s="280" t="s">
        <v>290</v>
      </c>
      <c r="Q3" s="400"/>
      <c r="R3" s="401" t="s">
        <v>291</v>
      </c>
      <c r="S3" s="403"/>
    </row>
    <row r="4" spans="1:23" ht="21" customHeight="1" thickBot="1">
      <c r="A4" s="405"/>
      <c r="B4" s="400"/>
      <c r="C4" s="281" t="s">
        <v>292</v>
      </c>
      <c r="D4" s="400"/>
      <c r="E4" s="402"/>
      <c r="F4" s="400"/>
      <c r="G4" s="281" t="s">
        <v>292</v>
      </c>
      <c r="H4" s="400"/>
      <c r="I4" s="402"/>
      <c r="J4" s="406"/>
      <c r="K4" s="405"/>
      <c r="L4" s="281" t="s">
        <v>292</v>
      </c>
      <c r="M4" s="400"/>
      <c r="N4" s="402"/>
      <c r="O4" s="400"/>
      <c r="P4" s="281" t="s">
        <v>292</v>
      </c>
      <c r="Q4" s="400"/>
      <c r="R4" s="402"/>
      <c r="S4" s="403"/>
    </row>
    <row r="5" spans="1:23">
      <c r="A5" s="204"/>
      <c r="B5" s="204"/>
      <c r="C5" s="204"/>
      <c r="D5" s="204"/>
      <c r="E5" s="204"/>
      <c r="F5" s="204"/>
      <c r="G5" s="204"/>
      <c r="H5" s="204"/>
      <c r="I5" s="204"/>
      <c r="J5" s="52"/>
      <c r="K5" s="204"/>
      <c r="L5" s="204"/>
      <c r="M5" s="204"/>
      <c r="N5" s="204"/>
      <c r="O5" s="204"/>
      <c r="P5" s="204"/>
      <c r="Q5" s="52"/>
      <c r="R5" s="204"/>
      <c r="S5" s="225"/>
    </row>
    <row r="6" spans="1:23">
      <c r="A6" s="204"/>
      <c r="B6" s="204"/>
      <c r="C6" s="204"/>
      <c r="D6" s="204"/>
      <c r="E6" s="204"/>
      <c r="F6" s="204"/>
      <c r="G6" s="204"/>
      <c r="H6" s="204"/>
      <c r="I6" s="204"/>
      <c r="J6" s="52"/>
      <c r="K6" s="204"/>
      <c r="L6" s="204"/>
      <c r="M6" s="204"/>
      <c r="N6" s="204"/>
      <c r="O6" s="204"/>
      <c r="P6" s="204"/>
      <c r="Q6" s="52"/>
      <c r="R6" s="204"/>
      <c r="S6" s="225"/>
    </row>
    <row r="7" spans="1:23">
      <c r="A7" s="209" t="s">
        <v>30</v>
      </c>
      <c r="B7" s="204"/>
      <c r="C7" s="204"/>
      <c r="D7" s="204"/>
      <c r="E7" s="204"/>
      <c r="F7" s="204"/>
      <c r="G7" s="204"/>
      <c r="H7" s="204"/>
      <c r="I7" s="204"/>
      <c r="J7" s="52"/>
      <c r="K7" s="209" t="s">
        <v>30</v>
      </c>
      <c r="L7" s="204"/>
      <c r="M7" s="204"/>
      <c r="N7" s="204"/>
      <c r="O7" s="204"/>
      <c r="P7" s="204"/>
      <c r="Q7" s="52"/>
      <c r="R7" s="204"/>
      <c r="S7" s="225"/>
    </row>
    <row r="8" spans="1:23">
      <c r="A8" s="209" t="s">
        <v>293</v>
      </c>
      <c r="B8" s="204"/>
      <c r="C8" s="282">
        <v>65</v>
      </c>
      <c r="D8" s="204"/>
      <c r="E8" s="282">
        <v>61</v>
      </c>
      <c r="F8" s="294">
        <v>-4</v>
      </c>
      <c r="G8" s="298">
        <v>27648</v>
      </c>
      <c r="H8" s="204"/>
      <c r="I8" s="282">
        <v>46343</v>
      </c>
      <c r="J8" s="296">
        <v>16954</v>
      </c>
      <c r="K8" s="209" t="s">
        <v>294</v>
      </c>
      <c r="L8" s="283"/>
      <c r="M8" s="209"/>
      <c r="N8" s="284"/>
      <c r="O8" s="295">
        <v>0</v>
      </c>
      <c r="P8" s="299">
        <v>36273</v>
      </c>
      <c r="Q8" s="52"/>
      <c r="R8" s="282">
        <v>84665</v>
      </c>
      <c r="S8" s="295">
        <v>-48392</v>
      </c>
      <c r="U8" s="297">
        <v>48392</v>
      </c>
    </row>
    <row r="9" spans="1:23">
      <c r="A9" s="209" t="s">
        <v>295</v>
      </c>
      <c r="B9" s="204"/>
      <c r="C9" s="283"/>
      <c r="D9" s="204"/>
      <c r="E9" s="283"/>
      <c r="F9" s="294">
        <v>0</v>
      </c>
      <c r="G9" s="299">
        <v>185761</v>
      </c>
      <c r="H9" s="204"/>
      <c r="I9" s="282">
        <v>232036</v>
      </c>
      <c r="J9" s="296">
        <v>48016</v>
      </c>
      <c r="K9" s="209" t="s">
        <v>39</v>
      </c>
      <c r="L9" s="283">
        <v>16</v>
      </c>
      <c r="M9" s="209"/>
      <c r="N9" s="283">
        <v>13</v>
      </c>
      <c r="O9" s="295">
        <v>3</v>
      </c>
      <c r="P9" s="299">
        <v>17132</v>
      </c>
      <c r="Q9" s="52"/>
      <c r="R9" s="282">
        <v>13890</v>
      </c>
      <c r="S9" s="295">
        <v>3242</v>
      </c>
    </row>
    <row r="10" spans="1:23">
      <c r="A10" s="209" t="s">
        <v>31</v>
      </c>
      <c r="B10" s="204"/>
      <c r="C10" s="282">
        <v>4850</v>
      </c>
      <c r="D10" s="204"/>
      <c r="E10" s="282">
        <v>14471</v>
      </c>
      <c r="F10" s="294">
        <v>9621</v>
      </c>
      <c r="G10" s="282"/>
      <c r="H10" s="204"/>
      <c r="I10" s="282"/>
      <c r="J10" s="296">
        <v>0</v>
      </c>
      <c r="K10" s="209" t="s">
        <v>40</v>
      </c>
      <c r="L10" s="283">
        <v>8</v>
      </c>
      <c r="M10" s="209"/>
      <c r="N10" s="283">
        <v>9</v>
      </c>
      <c r="O10" s="295">
        <v>-1</v>
      </c>
      <c r="P10" s="299">
        <v>6550</v>
      </c>
      <c r="Q10" s="52"/>
      <c r="R10" s="282">
        <v>8107</v>
      </c>
      <c r="S10" s="295">
        <v>-1557</v>
      </c>
    </row>
    <row r="11" spans="1:23">
      <c r="A11" s="209" t="s">
        <v>296</v>
      </c>
      <c r="B11" s="204"/>
      <c r="C11" s="283"/>
      <c r="D11" s="204"/>
      <c r="E11" s="283">
        <v>0</v>
      </c>
      <c r="F11" s="294">
        <v>0</v>
      </c>
      <c r="G11" s="299">
        <v>176461</v>
      </c>
      <c r="H11" s="204"/>
      <c r="I11" s="282">
        <v>162775</v>
      </c>
      <c r="J11" s="296">
        <v>-13686</v>
      </c>
      <c r="K11" s="209" t="s">
        <v>41</v>
      </c>
      <c r="L11" s="283">
        <v>15</v>
      </c>
      <c r="M11" s="209"/>
      <c r="N11" s="283">
        <v>8</v>
      </c>
      <c r="O11" s="295">
        <v>7</v>
      </c>
      <c r="P11" s="299">
        <v>10948</v>
      </c>
      <c r="Q11" s="52"/>
      <c r="R11" s="282">
        <v>11795</v>
      </c>
      <c r="S11" s="295">
        <v>-847</v>
      </c>
    </row>
    <row r="12" spans="1:23">
      <c r="A12" s="209" t="s">
        <v>32</v>
      </c>
      <c r="B12" s="204"/>
      <c r="C12" s="293">
        <v>1098</v>
      </c>
      <c r="D12" s="204"/>
      <c r="E12" s="293">
        <v>1052</v>
      </c>
      <c r="F12" s="294">
        <v>-46</v>
      </c>
      <c r="G12" s="299">
        <v>17594</v>
      </c>
      <c r="H12" s="204"/>
      <c r="I12" s="282">
        <v>13369</v>
      </c>
      <c r="J12" s="296">
        <v>-4225</v>
      </c>
      <c r="K12" s="209" t="s">
        <v>297</v>
      </c>
      <c r="L12" s="282">
        <v>29</v>
      </c>
      <c r="M12" s="209"/>
      <c r="N12" s="282">
        <v>5366</v>
      </c>
      <c r="O12" s="295">
        <v>-5337</v>
      </c>
      <c r="P12" s="299">
        <v>1438</v>
      </c>
      <c r="Q12" s="52"/>
      <c r="R12" s="282">
        <v>6775</v>
      </c>
      <c r="S12" s="295">
        <v>-5337</v>
      </c>
      <c r="T12">
        <v>2618</v>
      </c>
      <c r="U12" s="297">
        <v>-7955</v>
      </c>
      <c r="V12">
        <v>15036</v>
      </c>
      <c r="W12" s="297">
        <v>13598</v>
      </c>
    </row>
    <row r="13" spans="1:23">
      <c r="A13" s="209" t="s">
        <v>298</v>
      </c>
      <c r="B13" s="204"/>
      <c r="C13" s="282">
        <v>1757</v>
      </c>
      <c r="D13" s="204"/>
      <c r="E13" s="282">
        <v>2375</v>
      </c>
      <c r="F13" s="294">
        <v>618</v>
      </c>
      <c r="G13" s="299">
        <v>29028</v>
      </c>
      <c r="H13" s="204"/>
      <c r="I13" s="282">
        <v>26467</v>
      </c>
      <c r="J13" s="296">
        <v>-2561</v>
      </c>
      <c r="K13" s="209" t="s">
        <v>42</v>
      </c>
      <c r="L13" s="283"/>
      <c r="M13" s="209"/>
      <c r="N13" s="283"/>
      <c r="O13" s="295">
        <v>0</v>
      </c>
      <c r="P13" s="301">
        <v>243</v>
      </c>
      <c r="Q13" s="52"/>
      <c r="R13" s="293">
        <v>406</v>
      </c>
      <c r="S13" s="295">
        <v>-163</v>
      </c>
    </row>
    <row r="14" spans="1:23" ht="15" thickBot="1">
      <c r="A14" s="204"/>
      <c r="B14" s="204"/>
      <c r="C14" s="283"/>
      <c r="D14" s="204"/>
      <c r="E14" s="204"/>
      <c r="F14" s="294">
        <v>0</v>
      </c>
      <c r="G14" s="283"/>
      <c r="H14" s="204"/>
      <c r="I14" s="204"/>
      <c r="J14" s="296">
        <v>0</v>
      </c>
      <c r="K14" s="209" t="s">
        <v>43</v>
      </c>
      <c r="L14" s="285">
        <v>7</v>
      </c>
      <c r="M14" s="209"/>
      <c r="N14" s="285">
        <v>6</v>
      </c>
      <c r="O14" s="295">
        <v>1</v>
      </c>
      <c r="P14" s="302">
        <v>6922</v>
      </c>
      <c r="Q14" s="52"/>
      <c r="R14" s="287">
        <v>6835</v>
      </c>
      <c r="S14" s="295">
        <v>87</v>
      </c>
    </row>
    <row r="15" spans="1:23" ht="15" thickBot="1">
      <c r="A15" s="204"/>
      <c r="B15" s="204"/>
      <c r="C15" s="285"/>
      <c r="D15" s="204"/>
      <c r="E15" s="289"/>
      <c r="F15" s="294">
        <v>0</v>
      </c>
      <c r="G15" s="285"/>
      <c r="H15" s="204"/>
      <c r="I15" s="289"/>
      <c r="J15" s="296">
        <v>0</v>
      </c>
      <c r="K15" s="204"/>
      <c r="L15" s="283"/>
      <c r="M15" s="209"/>
      <c r="N15" s="283"/>
      <c r="O15" s="295">
        <v>0</v>
      </c>
      <c r="P15" s="283"/>
      <c r="Q15" s="52"/>
      <c r="R15" s="283"/>
      <c r="S15" s="295">
        <v>0</v>
      </c>
    </row>
    <row r="16" spans="1:23" ht="15" thickBot="1">
      <c r="A16" s="204"/>
      <c r="B16" s="204"/>
      <c r="C16" s="283"/>
      <c r="D16" s="204"/>
      <c r="E16" s="204"/>
      <c r="F16" s="294">
        <v>0</v>
      </c>
      <c r="G16" s="283"/>
      <c r="H16" s="204"/>
      <c r="I16" s="204"/>
      <c r="J16" s="296">
        <v>0</v>
      </c>
      <c r="K16" s="204"/>
      <c r="L16" s="287">
        <v>75</v>
      </c>
      <c r="M16" s="209"/>
      <c r="N16" s="287">
        <v>5402</v>
      </c>
      <c r="O16" s="295">
        <v>-5327</v>
      </c>
      <c r="P16" s="287">
        <v>79506</v>
      </c>
      <c r="Q16" s="52"/>
      <c r="R16" s="287">
        <v>132473</v>
      </c>
      <c r="S16" s="295">
        <v>-52967</v>
      </c>
    </row>
    <row r="17" spans="1:21" ht="15" thickBot="1">
      <c r="A17" s="204"/>
      <c r="B17" s="204"/>
      <c r="C17" s="287">
        <v>7770</v>
      </c>
      <c r="D17" s="204"/>
      <c r="E17" s="287">
        <v>17959</v>
      </c>
      <c r="F17" s="294">
        <v>10189</v>
      </c>
      <c r="G17" s="287">
        <v>436492</v>
      </c>
      <c r="H17" s="204"/>
      <c r="I17" s="287">
        <v>480990</v>
      </c>
      <c r="J17" s="296">
        <v>44498</v>
      </c>
      <c r="K17" s="204"/>
      <c r="L17" s="283"/>
      <c r="M17" s="209"/>
      <c r="N17" s="283"/>
      <c r="O17" s="295">
        <v>0</v>
      </c>
      <c r="P17" s="283"/>
      <c r="Q17" s="52"/>
      <c r="R17" s="283"/>
      <c r="S17" s="295">
        <v>0</v>
      </c>
    </row>
    <row r="18" spans="1:21">
      <c r="A18" s="204"/>
      <c r="B18" s="204"/>
      <c r="C18" s="283"/>
      <c r="D18" s="204"/>
      <c r="E18" s="204"/>
      <c r="F18" s="294">
        <v>0</v>
      </c>
      <c r="G18" s="283"/>
      <c r="H18" s="204"/>
      <c r="I18" s="204"/>
      <c r="J18" s="296">
        <v>0</v>
      </c>
      <c r="K18" s="209" t="s">
        <v>34</v>
      </c>
      <c r="L18" s="283"/>
      <c r="M18" s="209"/>
      <c r="N18" s="283"/>
      <c r="O18" s="295">
        <v>0</v>
      </c>
      <c r="P18" s="283"/>
      <c r="Q18" s="52"/>
      <c r="R18" s="283"/>
      <c r="S18" s="295">
        <v>0</v>
      </c>
    </row>
    <row r="19" spans="1:21" ht="15" thickBot="1">
      <c r="A19" s="209" t="s">
        <v>299</v>
      </c>
      <c r="B19" s="204"/>
      <c r="C19" s="285"/>
      <c r="D19" s="204"/>
      <c r="E19" s="289"/>
      <c r="F19" s="294">
        <v>0</v>
      </c>
      <c r="G19" s="285"/>
      <c r="H19" s="204"/>
      <c r="I19" s="285"/>
      <c r="J19" s="296">
        <v>0</v>
      </c>
      <c r="K19" s="209" t="s">
        <v>294</v>
      </c>
      <c r="L19" s="283"/>
      <c r="M19" s="209"/>
      <c r="N19" s="283"/>
      <c r="O19" s="295">
        <v>0</v>
      </c>
      <c r="P19" s="301">
        <v>155132</v>
      </c>
      <c r="Q19" s="52"/>
      <c r="R19" s="293">
        <v>155128</v>
      </c>
      <c r="S19" s="295">
        <v>4</v>
      </c>
    </row>
    <row r="20" spans="1:21">
      <c r="A20" s="204"/>
      <c r="B20" s="204"/>
      <c r="C20" s="283"/>
      <c r="D20" s="204"/>
      <c r="E20" s="204"/>
      <c r="F20" s="294">
        <v>0</v>
      </c>
      <c r="G20" s="283"/>
      <c r="H20" s="204"/>
      <c r="I20" s="204"/>
      <c r="J20" s="296">
        <v>0</v>
      </c>
      <c r="K20" s="209" t="s">
        <v>300</v>
      </c>
      <c r="L20" s="283"/>
      <c r="M20" s="209"/>
      <c r="N20" s="283"/>
      <c r="O20" s="295">
        <v>0</v>
      </c>
      <c r="P20" s="299">
        <v>50783</v>
      </c>
      <c r="Q20" s="52"/>
      <c r="R20" s="282">
        <v>49640</v>
      </c>
      <c r="S20" s="295">
        <v>1143</v>
      </c>
      <c r="T20" s="297"/>
    </row>
    <row r="21" spans="1:21" ht="15" thickBot="1">
      <c r="A21" s="204"/>
      <c r="B21" s="204"/>
      <c r="C21" s="287">
        <v>7770</v>
      </c>
      <c r="D21" s="204"/>
      <c r="E21" s="287">
        <v>17959</v>
      </c>
      <c r="F21" s="294">
        <v>10189</v>
      </c>
      <c r="G21" s="287">
        <v>436492</v>
      </c>
      <c r="H21" s="204"/>
      <c r="I21" s="287">
        <v>480990</v>
      </c>
      <c r="J21" s="296">
        <v>44498</v>
      </c>
      <c r="K21" s="209" t="s">
        <v>301</v>
      </c>
      <c r="L21" s="283"/>
      <c r="M21" s="209"/>
      <c r="N21" s="283"/>
      <c r="O21" s="295">
        <v>0</v>
      </c>
      <c r="P21" s="299">
        <v>28921</v>
      </c>
      <c r="Q21" s="52"/>
      <c r="R21" s="282">
        <v>27714</v>
      </c>
      <c r="S21" s="295">
        <v>1207</v>
      </c>
    </row>
    <row r="22" spans="1:21">
      <c r="A22" s="209"/>
      <c r="B22" s="209"/>
      <c r="C22" s="283"/>
      <c r="D22" s="209"/>
      <c r="E22" s="283"/>
      <c r="F22" s="294">
        <v>0</v>
      </c>
      <c r="G22" s="283"/>
      <c r="H22" s="209"/>
      <c r="I22" s="283"/>
      <c r="J22" s="296">
        <v>0</v>
      </c>
      <c r="K22" s="209" t="s">
        <v>42</v>
      </c>
      <c r="L22" s="283"/>
      <c r="M22" s="209"/>
      <c r="N22" s="283"/>
      <c r="O22" s="295">
        <v>0</v>
      </c>
      <c r="P22" s="303">
        <v>320</v>
      </c>
      <c r="Q22" s="52"/>
      <c r="R22" s="283">
        <v>560</v>
      </c>
      <c r="S22" s="295">
        <v>-240</v>
      </c>
    </row>
    <row r="23" spans="1:21">
      <c r="A23" s="204"/>
      <c r="B23" s="204"/>
      <c r="C23" s="204"/>
      <c r="D23" s="204"/>
      <c r="E23" s="204"/>
      <c r="F23" s="294">
        <v>0</v>
      </c>
      <c r="G23" s="204"/>
      <c r="H23" s="204"/>
      <c r="I23" s="204"/>
      <c r="J23" s="296">
        <v>0</v>
      </c>
      <c r="K23" s="209" t="s">
        <v>302</v>
      </c>
      <c r="L23" s="283"/>
      <c r="M23" s="209"/>
      <c r="N23" s="283"/>
      <c r="O23" s="295">
        <v>0</v>
      </c>
      <c r="P23" s="299">
        <v>24804</v>
      </c>
      <c r="Q23" s="225"/>
      <c r="R23" s="282">
        <v>24954</v>
      </c>
      <c r="S23" s="295">
        <v>-150</v>
      </c>
    </row>
    <row r="24" spans="1:21" ht="15" thickBot="1">
      <c r="A24" s="209" t="s">
        <v>34</v>
      </c>
      <c r="B24" s="204"/>
      <c r="C24" s="204"/>
      <c r="D24" s="204"/>
      <c r="E24" s="204"/>
      <c r="F24" s="294">
        <v>0</v>
      </c>
      <c r="G24" s="204"/>
      <c r="H24" s="204"/>
      <c r="I24" s="204"/>
      <c r="J24" s="296">
        <v>0</v>
      </c>
      <c r="K24" s="209" t="s">
        <v>43</v>
      </c>
      <c r="L24" s="285"/>
      <c r="M24" s="209"/>
      <c r="N24" s="285"/>
      <c r="O24" s="295">
        <v>0</v>
      </c>
      <c r="P24" s="302">
        <v>2132</v>
      </c>
      <c r="Q24" s="52"/>
      <c r="R24" s="287">
        <v>2132</v>
      </c>
      <c r="S24" s="295">
        <v>0</v>
      </c>
      <c r="T24" s="297"/>
      <c r="U24" t="s">
        <v>303</v>
      </c>
    </row>
    <row r="25" spans="1:21">
      <c r="A25" s="209" t="s">
        <v>35</v>
      </c>
      <c r="B25" s="204"/>
      <c r="C25" s="204"/>
      <c r="D25" s="204"/>
      <c r="E25" s="204"/>
      <c r="F25" s="294">
        <v>0</v>
      </c>
      <c r="G25" s="204"/>
      <c r="H25" s="204"/>
      <c r="I25" s="204"/>
      <c r="J25" s="296">
        <v>0</v>
      </c>
      <c r="K25" s="204"/>
      <c r="L25" s="283"/>
      <c r="M25" s="209"/>
      <c r="N25" s="283"/>
      <c r="O25" s="295">
        <v>0</v>
      </c>
      <c r="P25" s="283"/>
      <c r="Q25" s="52"/>
      <c r="R25" s="283"/>
      <c r="S25" s="295">
        <v>0</v>
      </c>
    </row>
    <row r="26" spans="1:21" ht="15" thickBot="1">
      <c r="A26" s="209" t="s">
        <v>304</v>
      </c>
      <c r="B26" s="204"/>
      <c r="C26" s="204"/>
      <c r="D26" s="204"/>
      <c r="E26" s="204"/>
      <c r="F26" s="294">
        <v>0</v>
      </c>
      <c r="G26" s="299">
        <v>8437</v>
      </c>
      <c r="H26" s="204"/>
      <c r="I26" s="282">
        <v>8812</v>
      </c>
      <c r="J26" s="296">
        <v>375</v>
      </c>
      <c r="K26" s="204"/>
      <c r="L26" s="288">
        <v>0</v>
      </c>
      <c r="M26" s="209"/>
      <c r="N26" s="288">
        <v>0</v>
      </c>
      <c r="O26" s="295">
        <v>0</v>
      </c>
      <c r="P26" s="288">
        <v>262092</v>
      </c>
      <c r="Q26" s="52"/>
      <c r="R26" s="288">
        <v>260128</v>
      </c>
      <c r="S26" s="295">
        <v>1964</v>
      </c>
    </row>
    <row r="27" spans="1:21" ht="15" thickBot="1">
      <c r="A27" s="209" t="s">
        <v>32</v>
      </c>
      <c r="B27" s="204"/>
      <c r="C27" s="204"/>
      <c r="D27" s="204"/>
      <c r="E27" s="204"/>
      <c r="F27" s="294">
        <v>0</v>
      </c>
      <c r="G27" s="299">
        <v>4571</v>
      </c>
      <c r="H27" s="204"/>
      <c r="I27" s="282">
        <v>4570</v>
      </c>
      <c r="J27" s="296">
        <v>-1</v>
      </c>
      <c r="K27" s="204"/>
      <c r="L27" s="287">
        <v>75</v>
      </c>
      <c r="M27" s="209"/>
      <c r="N27" s="287">
        <v>5402</v>
      </c>
      <c r="O27" s="295">
        <v>-5327</v>
      </c>
      <c r="P27" s="287">
        <v>341598</v>
      </c>
      <c r="Q27" s="52"/>
      <c r="R27" s="287">
        <v>392601</v>
      </c>
      <c r="S27" s="295">
        <v>-51003</v>
      </c>
    </row>
    <row r="28" spans="1:21">
      <c r="A28" s="209" t="s">
        <v>400</v>
      </c>
      <c r="B28" s="204"/>
      <c r="C28" s="204"/>
      <c r="D28" s="204"/>
      <c r="E28" s="204"/>
      <c r="F28" s="294"/>
      <c r="G28" s="299">
        <v>7617</v>
      </c>
      <c r="H28" s="204"/>
      <c r="I28" s="282">
        <v>6664</v>
      </c>
      <c r="J28" s="296"/>
      <c r="K28" s="204"/>
      <c r="L28" s="282"/>
      <c r="M28" s="209"/>
      <c r="N28" s="282"/>
      <c r="O28" s="295"/>
      <c r="P28" s="282"/>
      <c r="Q28" s="52"/>
      <c r="R28" s="282"/>
      <c r="S28" s="295"/>
    </row>
    <row r="29" spans="1:21">
      <c r="A29" s="209" t="s">
        <v>305</v>
      </c>
      <c r="B29" s="204"/>
      <c r="C29" s="204"/>
      <c r="D29" s="204"/>
      <c r="E29" s="204"/>
      <c r="F29" s="294">
        <v>0</v>
      </c>
      <c r="G29" s="299">
        <v>24804</v>
      </c>
      <c r="H29" s="204"/>
      <c r="I29" s="282">
        <v>25574</v>
      </c>
      <c r="J29" s="296">
        <v>770</v>
      </c>
      <c r="K29" s="204"/>
      <c r="L29" s="283"/>
      <c r="M29" s="209"/>
      <c r="N29" s="283"/>
      <c r="O29" s="295">
        <v>0</v>
      </c>
      <c r="P29" s="283"/>
      <c r="Q29" s="52"/>
      <c r="R29" s="283"/>
      <c r="S29" s="295">
        <v>0</v>
      </c>
    </row>
    <row r="30" spans="1:21">
      <c r="A30" s="209" t="s">
        <v>36</v>
      </c>
      <c r="B30" s="204"/>
      <c r="C30" s="204"/>
      <c r="D30" s="204"/>
      <c r="E30" s="204"/>
      <c r="F30" s="294">
        <v>0</v>
      </c>
      <c r="G30" s="299">
        <v>2069</v>
      </c>
      <c r="H30" s="204"/>
      <c r="I30" s="282">
        <v>2116</v>
      </c>
      <c r="J30" s="296">
        <v>47</v>
      </c>
      <c r="K30" s="209" t="s">
        <v>306</v>
      </c>
      <c r="L30" s="283"/>
      <c r="M30" s="209"/>
      <c r="N30" s="283"/>
      <c r="O30" s="295">
        <v>0</v>
      </c>
      <c r="P30" s="283"/>
      <c r="Q30" s="52"/>
      <c r="R30" s="283"/>
      <c r="S30" s="295">
        <v>0</v>
      </c>
    </row>
    <row r="31" spans="1:21" ht="15" thickBot="1">
      <c r="A31" s="209" t="s">
        <v>33</v>
      </c>
      <c r="B31" s="204"/>
      <c r="C31" s="289"/>
      <c r="D31" s="204"/>
      <c r="E31" s="289"/>
      <c r="F31" s="294">
        <v>0</v>
      </c>
      <c r="G31" s="300">
        <v>360</v>
      </c>
      <c r="H31" s="204"/>
      <c r="I31" s="285">
        <v>114</v>
      </c>
      <c r="J31" s="296">
        <v>-246</v>
      </c>
      <c r="K31" s="209" t="s">
        <v>307</v>
      </c>
      <c r="L31" s="283"/>
      <c r="M31" s="209"/>
      <c r="N31" s="283"/>
      <c r="O31" s="295">
        <v>0</v>
      </c>
      <c r="P31" s="283"/>
      <c r="Q31" s="52"/>
      <c r="R31" s="283"/>
      <c r="S31" s="295">
        <v>0</v>
      </c>
    </row>
    <row r="32" spans="1:21">
      <c r="A32" s="204"/>
      <c r="B32" s="204"/>
      <c r="C32" s="204"/>
      <c r="D32" s="204"/>
      <c r="E32" s="204"/>
      <c r="F32" s="294">
        <v>0</v>
      </c>
      <c r="G32" s="283"/>
      <c r="H32" s="204"/>
      <c r="I32" s="204"/>
      <c r="J32" s="296">
        <v>0</v>
      </c>
      <c r="K32" s="209" t="s">
        <v>45</v>
      </c>
      <c r="L32" s="215">
        <v>129393</v>
      </c>
      <c r="M32" s="215"/>
      <c r="N32" s="215">
        <v>127000</v>
      </c>
      <c r="O32" s="295">
        <v>2393</v>
      </c>
      <c r="P32" s="215">
        <v>129393</v>
      </c>
      <c r="Q32" s="215"/>
      <c r="R32" s="215">
        <v>127000</v>
      </c>
      <c r="S32" s="295">
        <v>2393</v>
      </c>
    </row>
    <row r="33" spans="1:19">
      <c r="A33" s="204"/>
      <c r="B33" s="204"/>
      <c r="C33" s="204"/>
      <c r="D33" s="204"/>
      <c r="E33" s="204"/>
      <c r="F33" s="294">
        <v>0</v>
      </c>
      <c r="G33" s="283"/>
      <c r="H33" s="204"/>
      <c r="I33" s="204"/>
      <c r="J33" s="296">
        <v>0</v>
      </c>
      <c r="K33" s="209" t="s">
        <v>46</v>
      </c>
      <c r="L33" s="215">
        <v>-10870</v>
      </c>
      <c r="M33" s="215"/>
      <c r="N33" s="215">
        <v>-10870</v>
      </c>
      <c r="O33" s="295">
        <v>0</v>
      </c>
      <c r="P33" s="215">
        <v>-10870</v>
      </c>
      <c r="Q33" s="215"/>
      <c r="R33" s="215">
        <v>-10870</v>
      </c>
      <c r="S33" s="295">
        <v>0</v>
      </c>
    </row>
    <row r="34" spans="1:19">
      <c r="A34" s="209" t="s">
        <v>308</v>
      </c>
      <c r="B34" s="204"/>
      <c r="C34" s="282">
        <v>362019</v>
      </c>
      <c r="D34" s="204"/>
      <c r="E34" s="282">
        <v>354905</v>
      </c>
      <c r="F34" s="294">
        <v>-7114</v>
      </c>
      <c r="G34" s="293"/>
      <c r="H34" s="204"/>
      <c r="I34" s="204"/>
      <c r="J34" s="296">
        <v>0</v>
      </c>
      <c r="K34" s="209" t="s">
        <v>47</v>
      </c>
      <c r="L34" s="215">
        <v>190475</v>
      </c>
      <c r="M34" s="215"/>
      <c r="N34" s="215">
        <v>188397</v>
      </c>
      <c r="O34" s="295">
        <v>2078</v>
      </c>
      <c r="P34" s="215">
        <v>190475</v>
      </c>
      <c r="Q34" s="215"/>
      <c r="R34" s="215">
        <v>188397</v>
      </c>
      <c r="S34" s="295">
        <v>2078</v>
      </c>
    </row>
    <row r="35" spans="1:19">
      <c r="A35" s="209" t="s">
        <v>309</v>
      </c>
      <c r="B35" s="204"/>
      <c r="C35" s="282">
        <v>74957</v>
      </c>
      <c r="D35" s="204"/>
      <c r="E35" s="282">
        <v>74959</v>
      </c>
      <c r="F35" s="294">
        <v>2</v>
      </c>
      <c r="G35" s="301">
        <v>263798</v>
      </c>
      <c r="H35" s="204"/>
      <c r="I35" s="293">
        <v>266280</v>
      </c>
      <c r="J35" s="296">
        <v>2482</v>
      </c>
      <c r="K35" s="209" t="s">
        <v>48</v>
      </c>
      <c r="L35" s="215">
        <v>147022</v>
      </c>
      <c r="M35" s="215"/>
      <c r="N35" s="215">
        <v>154128</v>
      </c>
      <c r="O35" s="295">
        <v>-7106</v>
      </c>
      <c r="P35" s="215">
        <v>147022</v>
      </c>
      <c r="Q35" s="215"/>
      <c r="R35" s="215">
        <v>154128</v>
      </c>
      <c r="S35" s="295">
        <v>-7106</v>
      </c>
    </row>
    <row r="36" spans="1:19" ht="15" thickBot="1">
      <c r="A36" s="209" t="s">
        <v>310</v>
      </c>
      <c r="B36" s="204"/>
      <c r="C36" s="285"/>
      <c r="D36" s="204"/>
      <c r="E36" s="289"/>
      <c r="F36" s="294">
        <v>0</v>
      </c>
      <c r="G36" s="302">
        <v>41765</v>
      </c>
      <c r="H36" s="204"/>
      <c r="I36" s="287">
        <v>43490</v>
      </c>
      <c r="J36" s="296">
        <v>1725</v>
      </c>
      <c r="K36" s="209" t="s">
        <v>49</v>
      </c>
      <c r="L36" s="215">
        <v>-16234</v>
      </c>
      <c r="M36" s="215"/>
      <c r="N36" s="215">
        <v>-16234</v>
      </c>
      <c r="O36" s="295">
        <v>0</v>
      </c>
      <c r="P36" s="215">
        <v>-16234</v>
      </c>
      <c r="Q36" s="215"/>
      <c r="R36" s="215">
        <v>-16234</v>
      </c>
      <c r="S36" s="295">
        <v>0</v>
      </c>
    </row>
    <row r="37" spans="1:19" ht="15" thickBot="1">
      <c r="A37" s="204"/>
      <c r="B37" s="204"/>
      <c r="C37" s="283"/>
      <c r="D37" s="204"/>
      <c r="E37" s="204"/>
      <c r="F37" s="294">
        <v>0</v>
      </c>
      <c r="G37" s="283"/>
      <c r="H37" s="204"/>
      <c r="I37" s="283"/>
      <c r="J37" s="296">
        <v>0</v>
      </c>
      <c r="K37" s="209" t="s">
        <v>401</v>
      </c>
      <c r="L37" s="214">
        <v>4885</v>
      </c>
      <c r="M37" s="215"/>
      <c r="N37" s="214"/>
      <c r="O37" s="295">
        <v>4885</v>
      </c>
      <c r="P37" s="214">
        <v>4885</v>
      </c>
      <c r="Q37" s="215"/>
      <c r="R37" s="214"/>
      <c r="S37" s="295">
        <v>4885</v>
      </c>
    </row>
    <row r="38" spans="1:19">
      <c r="A38" s="204"/>
      <c r="B38" s="204"/>
      <c r="C38" s="283"/>
      <c r="D38" s="204"/>
      <c r="E38" s="204"/>
      <c r="F38" s="294">
        <v>0</v>
      </c>
      <c r="G38" s="283"/>
      <c r="H38" s="204"/>
      <c r="I38" s="283"/>
      <c r="J38" s="296">
        <v>0</v>
      </c>
      <c r="K38" s="204"/>
      <c r="L38" s="283"/>
      <c r="M38" s="209"/>
      <c r="N38" s="283"/>
      <c r="O38" s="295">
        <v>0</v>
      </c>
      <c r="P38" s="283"/>
      <c r="Q38" s="52"/>
      <c r="R38" s="283"/>
      <c r="S38" s="295">
        <v>0</v>
      </c>
    </row>
    <row r="39" spans="1:19" ht="15" thickBot="1">
      <c r="A39" s="204"/>
      <c r="B39" s="204"/>
      <c r="C39" s="287">
        <v>436976</v>
      </c>
      <c r="D39" s="204"/>
      <c r="E39" s="287">
        <v>429864</v>
      </c>
      <c r="F39" s="294">
        <v>-7112</v>
      </c>
      <c r="G39" s="287">
        <v>353421</v>
      </c>
      <c r="H39" s="204"/>
      <c r="I39" s="287">
        <v>357620</v>
      </c>
      <c r="J39" s="296">
        <v>4199</v>
      </c>
      <c r="K39" s="204"/>
      <c r="L39" s="287">
        <v>444671</v>
      </c>
      <c r="M39" s="209"/>
      <c r="N39" s="287">
        <v>442421</v>
      </c>
      <c r="O39" s="295">
        <v>2250</v>
      </c>
      <c r="P39" s="287">
        <v>444671</v>
      </c>
      <c r="Q39" s="52"/>
      <c r="R39" s="287">
        <v>442421</v>
      </c>
      <c r="S39" s="295">
        <v>2250</v>
      </c>
    </row>
    <row r="40" spans="1:19">
      <c r="A40" s="204"/>
      <c r="B40" s="204"/>
      <c r="C40" s="283"/>
      <c r="D40" s="204"/>
      <c r="E40" s="204"/>
      <c r="F40" s="294">
        <v>0</v>
      </c>
      <c r="G40" s="283"/>
      <c r="H40" s="204"/>
      <c r="I40" s="283"/>
      <c r="J40" s="296">
        <v>0</v>
      </c>
      <c r="K40" s="204"/>
      <c r="L40" s="283"/>
      <c r="M40" s="209"/>
      <c r="N40" s="283"/>
      <c r="O40" s="295">
        <v>0</v>
      </c>
      <c r="P40" s="283"/>
      <c r="Q40" s="52"/>
      <c r="R40" s="283"/>
      <c r="S40" s="295">
        <v>0</v>
      </c>
    </row>
    <row r="41" spans="1:19" ht="15" thickBot="1">
      <c r="A41" s="209"/>
      <c r="B41" s="209"/>
      <c r="C41" s="283"/>
      <c r="D41" s="209"/>
      <c r="E41" s="284"/>
      <c r="F41" s="294">
        <v>0</v>
      </c>
      <c r="G41" s="283"/>
      <c r="H41" s="209"/>
      <c r="I41" s="284"/>
      <c r="J41" s="296">
        <v>0</v>
      </c>
      <c r="K41" s="209" t="s">
        <v>54</v>
      </c>
      <c r="L41" s="285"/>
      <c r="M41" s="209"/>
      <c r="N41" s="286"/>
      <c r="O41" s="295">
        <v>0</v>
      </c>
      <c r="P41" s="287">
        <v>3644</v>
      </c>
      <c r="Q41" s="225"/>
      <c r="R41" s="287">
        <v>3588</v>
      </c>
      <c r="S41" s="295">
        <v>56</v>
      </c>
    </row>
    <row r="42" spans="1:19">
      <c r="A42" s="209"/>
      <c r="B42" s="209"/>
      <c r="C42" s="283"/>
      <c r="D42" s="209"/>
      <c r="E42" s="284"/>
      <c r="F42" s="294">
        <v>0</v>
      </c>
      <c r="G42" s="283"/>
      <c r="H42" s="209"/>
      <c r="I42" s="284"/>
      <c r="J42" s="296">
        <v>0</v>
      </c>
      <c r="K42" s="209"/>
      <c r="L42" s="283"/>
      <c r="M42" s="209"/>
      <c r="N42" s="284"/>
      <c r="O42" s="295">
        <v>0</v>
      </c>
      <c r="P42" s="283"/>
      <c r="Q42" s="225"/>
      <c r="R42" s="284"/>
      <c r="S42" s="295">
        <v>0</v>
      </c>
    </row>
    <row r="43" spans="1:19" ht="15" thickBot="1">
      <c r="A43" s="209"/>
      <c r="B43" s="209"/>
      <c r="C43" s="285"/>
      <c r="D43" s="209"/>
      <c r="E43" s="286"/>
      <c r="F43" s="294">
        <v>0</v>
      </c>
      <c r="G43" s="285"/>
      <c r="H43" s="209"/>
      <c r="I43" s="286"/>
      <c r="J43" s="296">
        <v>0</v>
      </c>
      <c r="K43" s="209" t="s">
        <v>50</v>
      </c>
      <c r="L43" s="287">
        <v>444671</v>
      </c>
      <c r="M43" s="209"/>
      <c r="N43" s="287">
        <v>442421</v>
      </c>
      <c r="O43" s="295">
        <v>2250</v>
      </c>
      <c r="P43" s="287">
        <v>448315</v>
      </c>
      <c r="Q43" s="225"/>
      <c r="R43" s="287">
        <v>446009</v>
      </c>
      <c r="S43" s="295">
        <v>2306</v>
      </c>
    </row>
    <row r="44" spans="1:19">
      <c r="A44" s="209"/>
      <c r="B44" s="209"/>
      <c r="C44" s="283"/>
      <c r="D44" s="209"/>
      <c r="E44" s="284"/>
      <c r="F44" s="294">
        <v>0</v>
      </c>
      <c r="G44" s="283"/>
      <c r="H44" s="209"/>
      <c r="I44" s="284"/>
      <c r="J44" s="296">
        <v>0</v>
      </c>
      <c r="K44" s="209"/>
      <c r="L44" s="283"/>
      <c r="M44" s="209"/>
      <c r="N44" s="284"/>
      <c r="O44" s="295">
        <v>0</v>
      </c>
      <c r="P44" s="283"/>
      <c r="Q44" s="225"/>
      <c r="R44" s="284"/>
      <c r="S44" s="295">
        <v>0</v>
      </c>
    </row>
    <row r="45" spans="1:19" ht="15" thickBot="1">
      <c r="A45" s="209" t="s">
        <v>37</v>
      </c>
      <c r="B45" s="204"/>
      <c r="C45" s="290">
        <v>444746</v>
      </c>
      <c r="D45" s="204"/>
      <c r="E45" s="290">
        <v>447823</v>
      </c>
      <c r="F45" s="294">
        <v>3077</v>
      </c>
      <c r="G45" s="290">
        <v>789913</v>
      </c>
      <c r="H45" s="204"/>
      <c r="I45" s="290">
        <v>838610</v>
      </c>
      <c r="J45" s="296">
        <v>48697</v>
      </c>
      <c r="K45" s="209" t="s">
        <v>311</v>
      </c>
      <c r="L45" s="290">
        <v>444746</v>
      </c>
      <c r="M45" s="209"/>
      <c r="N45" s="290">
        <v>447823</v>
      </c>
      <c r="O45" s="295">
        <v>-3077</v>
      </c>
      <c r="P45" s="290">
        <v>789913</v>
      </c>
      <c r="Q45" s="52"/>
      <c r="R45" s="290">
        <v>838610</v>
      </c>
      <c r="S45" s="295">
        <v>-48697</v>
      </c>
    </row>
    <row r="46" spans="1:19" ht="15" thickTop="1">
      <c r="A46" s="291"/>
      <c r="L46" s="297">
        <v>0</v>
      </c>
      <c r="N46" s="297">
        <v>0</v>
      </c>
      <c r="P46" s="297">
        <v>0</v>
      </c>
      <c r="R46" s="297">
        <v>0</v>
      </c>
    </row>
    <row r="47" spans="1:19">
      <c r="A47" s="291"/>
    </row>
    <row r="48" spans="1:19">
      <c r="A48" s="291"/>
    </row>
    <row r="49" spans="1:1">
      <c r="A49" s="292" t="s">
        <v>312</v>
      </c>
    </row>
    <row r="50" spans="1:1">
      <c r="A50" s="292" t="s">
        <v>313</v>
      </c>
    </row>
  </sheetData>
  <mergeCells count="19">
    <mergeCell ref="C1:E1"/>
    <mergeCell ref="G1:I1"/>
    <mergeCell ref="L1:N1"/>
    <mergeCell ref="N3:N4"/>
    <mergeCell ref="H3:H4"/>
    <mergeCell ref="I3:I4"/>
    <mergeCell ref="J3:J4"/>
    <mergeCell ref="K3:K4"/>
    <mergeCell ref="M3:M4"/>
    <mergeCell ref="A3:A4"/>
    <mergeCell ref="B3:B4"/>
    <mergeCell ref="D3:D4"/>
    <mergeCell ref="E3:E4"/>
    <mergeCell ref="F3:F4"/>
    <mergeCell ref="O3:O4"/>
    <mergeCell ref="Q3:Q4"/>
    <mergeCell ref="R3:R4"/>
    <mergeCell ref="S3:S4"/>
    <mergeCell ref="P1:R1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4"/>
  <cols>
    <col min="1" max="1" width="49.5546875" bestFit="1" customWidth="1"/>
    <col min="3" max="3" width="2.88671875" customWidth="1"/>
    <col min="5" max="5" width="2.88671875" customWidth="1"/>
    <col min="6" max="6" width="9.88671875" bestFit="1" customWidth="1"/>
    <col min="7" max="7" width="2.5546875" customWidth="1"/>
    <col min="9" max="10" width="9.109375" style="102"/>
    <col min="14" max="14" width="14.109375" bestFit="1" customWidth="1"/>
    <col min="16" max="16" width="10.88671875" bestFit="1" customWidth="1"/>
  </cols>
  <sheetData>
    <row r="1" spans="1:10" ht="15" thickBot="1">
      <c r="A1" s="204"/>
      <c r="B1" s="402" t="s">
        <v>263</v>
      </c>
      <c r="C1" s="402"/>
      <c r="D1" s="402"/>
      <c r="E1" s="52"/>
      <c r="F1" s="402" t="s">
        <v>264</v>
      </c>
      <c r="G1" s="402"/>
      <c r="H1" s="402"/>
    </row>
    <row r="2" spans="1:10">
      <c r="A2" s="204"/>
      <c r="B2" s="52"/>
      <c r="C2" s="205"/>
      <c r="D2" s="206"/>
      <c r="E2" s="52"/>
      <c r="F2" s="52"/>
      <c r="G2" s="205"/>
      <c r="H2" s="206"/>
    </row>
    <row r="3" spans="1:10" ht="15" thickBot="1">
      <c r="A3" s="204"/>
      <c r="B3" s="207"/>
      <c r="C3" s="52"/>
      <c r="D3" s="207">
        <v>2013</v>
      </c>
      <c r="E3" s="52"/>
      <c r="F3" s="207"/>
      <c r="G3" s="52"/>
      <c r="H3" s="207">
        <v>2013</v>
      </c>
      <c r="I3" s="208">
        <v>2012</v>
      </c>
      <c r="J3" s="208">
        <v>2013</v>
      </c>
    </row>
    <row r="4" spans="1:10">
      <c r="A4" s="204"/>
      <c r="B4" s="52"/>
      <c r="C4" s="52"/>
      <c r="D4" s="52"/>
      <c r="E4" s="52"/>
      <c r="F4" s="52"/>
      <c r="G4" s="52"/>
      <c r="H4" s="52"/>
    </row>
    <row r="5" spans="1:10">
      <c r="A5" s="209" t="s">
        <v>265</v>
      </c>
      <c r="B5" s="210"/>
      <c r="C5" s="210"/>
      <c r="D5" s="210"/>
      <c r="E5" s="210"/>
      <c r="F5" s="211">
        <v>67326</v>
      </c>
      <c r="G5" s="210"/>
      <c r="H5" s="212">
        <v>59182</v>
      </c>
    </row>
    <row r="6" spans="1:10" ht="15" thickBot="1">
      <c r="A6" s="209" t="s">
        <v>266</v>
      </c>
      <c r="B6" s="213"/>
      <c r="C6" s="210"/>
      <c r="D6" s="213"/>
      <c r="E6" s="210"/>
      <c r="F6" s="214">
        <v>-30550</v>
      </c>
      <c r="G6" s="215"/>
      <c r="H6" s="214">
        <v>-27197</v>
      </c>
      <c r="I6" s="102">
        <f>H6/H5</f>
        <v>-0.45954851137170083</v>
      </c>
      <c r="J6" s="102">
        <f>F6/F5</f>
        <v>-0.45376229094257792</v>
      </c>
    </row>
    <row r="7" spans="1:10">
      <c r="A7" s="204"/>
      <c r="B7" s="210"/>
      <c r="C7" s="210"/>
      <c r="D7" s="210"/>
      <c r="E7" s="210"/>
      <c r="F7" s="211"/>
      <c r="G7" s="210"/>
      <c r="H7" s="210"/>
    </row>
    <row r="8" spans="1:10">
      <c r="A8" s="216" t="s">
        <v>256</v>
      </c>
      <c r="B8" s="210"/>
      <c r="C8" s="210"/>
      <c r="D8" s="210"/>
      <c r="E8" s="210"/>
      <c r="F8" s="211">
        <f>SUM(F5:F7)</f>
        <v>36776</v>
      </c>
      <c r="G8" s="210"/>
      <c r="H8" s="211">
        <f>SUM(H5:H7)</f>
        <v>31985</v>
      </c>
      <c r="I8" s="102">
        <f>H8/$H$5</f>
        <v>0.54045148862829917</v>
      </c>
      <c r="J8" s="102">
        <f>F8/$F$5</f>
        <v>0.54623770905742208</v>
      </c>
    </row>
    <row r="9" spans="1:10">
      <c r="A9" s="209" t="s">
        <v>267</v>
      </c>
      <c r="B9" s="215"/>
      <c r="C9" s="215"/>
      <c r="D9" s="215"/>
      <c r="E9" s="215"/>
      <c r="F9" s="215">
        <v>-24076</v>
      </c>
      <c r="G9" s="215"/>
      <c r="H9" s="215">
        <v>-23110</v>
      </c>
      <c r="I9" s="102">
        <f t="shared" ref="I9:I25" si="0">H9/$H$5</f>
        <v>-0.39049035179615421</v>
      </c>
      <c r="J9" s="102">
        <f t="shared" ref="J9:J25" si="1">F9/$F$5</f>
        <v>-0.35760330333006562</v>
      </c>
    </row>
    <row r="10" spans="1:10">
      <c r="A10" s="209" t="s">
        <v>268</v>
      </c>
      <c r="B10" s="215">
        <v>-235</v>
      </c>
      <c r="C10" s="215"/>
      <c r="D10" s="217">
        <v>-212</v>
      </c>
      <c r="E10" s="215"/>
      <c r="F10" s="215">
        <v>-8784</v>
      </c>
      <c r="G10" s="215"/>
      <c r="H10" s="215">
        <v>-9158</v>
      </c>
      <c r="I10" s="102">
        <f t="shared" si="0"/>
        <v>-0.15474299618127133</v>
      </c>
      <c r="J10" s="102">
        <f t="shared" si="1"/>
        <v>-0.13046965511095268</v>
      </c>
    </row>
    <row r="11" spans="1:10">
      <c r="A11" s="209" t="s">
        <v>269</v>
      </c>
      <c r="B11" s="215">
        <v>0</v>
      </c>
      <c r="C11" s="215"/>
      <c r="D11" s="217"/>
      <c r="E11" s="215"/>
      <c r="F11" s="215">
        <v>-5400</v>
      </c>
      <c r="G11" s="215"/>
      <c r="H11" s="215">
        <v>-5783</v>
      </c>
      <c r="I11" s="102">
        <f t="shared" si="0"/>
        <v>-9.7715521611300732E-2</v>
      </c>
      <c r="J11" s="102">
        <f t="shared" si="1"/>
        <v>-8.020675519115944E-2</v>
      </c>
    </row>
    <row r="12" spans="1:10" ht="15" thickBot="1">
      <c r="A12" s="209" t="s">
        <v>270</v>
      </c>
      <c r="B12" s="214">
        <v>-5189</v>
      </c>
      <c r="C12" s="218"/>
      <c r="D12" s="219">
        <v>-7607</v>
      </c>
      <c r="E12" s="210"/>
      <c r="F12" s="220"/>
      <c r="G12" s="210"/>
      <c r="H12" s="213"/>
      <c r="I12" s="102">
        <f t="shared" si="0"/>
        <v>0</v>
      </c>
      <c r="J12" s="102">
        <f t="shared" si="1"/>
        <v>0</v>
      </c>
    </row>
    <row r="13" spans="1:10">
      <c r="A13" s="204"/>
      <c r="B13" s="211"/>
      <c r="C13" s="218"/>
      <c r="D13" s="211"/>
      <c r="E13" s="210"/>
      <c r="F13" s="211"/>
      <c r="G13" s="210"/>
      <c r="H13" s="210"/>
      <c r="I13" s="102">
        <f t="shared" si="0"/>
        <v>0</v>
      </c>
      <c r="J13" s="102">
        <f t="shared" si="1"/>
        <v>0</v>
      </c>
    </row>
    <row r="14" spans="1:10">
      <c r="A14" s="216" t="s">
        <v>271</v>
      </c>
      <c r="B14" s="215">
        <f>SUM(B8:B12)</f>
        <v>-5424</v>
      </c>
      <c r="C14" s="215"/>
      <c r="D14" s="215">
        <f>SUM(D8:D12)</f>
        <v>-7819</v>
      </c>
      <c r="E14" s="215"/>
      <c r="F14" s="215">
        <f>SUM(F8:F12)</f>
        <v>-1484</v>
      </c>
      <c r="G14" s="215"/>
      <c r="H14" s="215">
        <f>SUM(H8:H12)</f>
        <v>-6066</v>
      </c>
      <c r="I14" s="102">
        <f t="shared" si="0"/>
        <v>-0.10249738096042715</v>
      </c>
      <c r="J14" s="102">
        <f t="shared" si="1"/>
        <v>-2.2042004574755667E-2</v>
      </c>
    </row>
    <row r="15" spans="1:10">
      <c r="A15" s="209" t="s">
        <v>257</v>
      </c>
      <c r="B15" s="215">
        <v>21</v>
      </c>
      <c r="C15" s="215"/>
      <c r="D15" s="221">
        <v>98</v>
      </c>
      <c r="E15" s="215"/>
      <c r="F15" s="215">
        <v>6370</v>
      </c>
      <c r="G15" s="215"/>
      <c r="H15" s="222">
        <v>3957</v>
      </c>
      <c r="I15" s="102">
        <f t="shared" si="0"/>
        <v>6.6861545740258863E-2</v>
      </c>
      <c r="J15" s="102">
        <f t="shared" si="1"/>
        <v>9.4614264919941779E-2</v>
      </c>
    </row>
    <row r="16" spans="1:10" ht="15" thickBot="1">
      <c r="A16" s="209" t="s">
        <v>258</v>
      </c>
      <c r="B16" s="214"/>
      <c r="C16" s="215"/>
      <c r="D16" s="214"/>
      <c r="E16" s="215"/>
      <c r="F16" s="214">
        <v>-8870</v>
      </c>
      <c r="G16" s="215"/>
      <c r="H16" s="214">
        <v>-2569</v>
      </c>
      <c r="I16" s="102">
        <f t="shared" si="0"/>
        <v>-4.3408468791186511E-2</v>
      </c>
      <c r="J16" s="102">
        <f t="shared" si="1"/>
        <v>-0.13174702195288596</v>
      </c>
    </row>
    <row r="17" spans="1:10">
      <c r="A17" s="204"/>
      <c r="B17" s="211"/>
      <c r="C17" s="218"/>
      <c r="D17" s="211"/>
      <c r="E17" s="210"/>
      <c r="F17" s="211"/>
      <c r="G17" s="210"/>
      <c r="H17" s="210"/>
      <c r="I17" s="102">
        <f t="shared" si="0"/>
        <v>0</v>
      </c>
      <c r="J17" s="102">
        <f t="shared" si="1"/>
        <v>0</v>
      </c>
    </row>
    <row r="18" spans="1:10" ht="15" thickBot="1">
      <c r="A18" s="216" t="s">
        <v>272</v>
      </c>
      <c r="B18" s="220">
        <f>SUM(B15:B16)</f>
        <v>21</v>
      </c>
      <c r="C18" s="218"/>
      <c r="D18" s="220">
        <f>SUM(D15:D16)</f>
        <v>98</v>
      </c>
      <c r="E18" s="210"/>
      <c r="F18" s="220">
        <f>SUM(F15:F16)</f>
        <v>-2500</v>
      </c>
      <c r="G18" s="210"/>
      <c r="H18" s="220">
        <f>SUM(H15:H16)</f>
        <v>1388</v>
      </c>
      <c r="I18" s="102">
        <f t="shared" si="0"/>
        <v>2.3453076949072352E-2</v>
      </c>
      <c r="J18" s="102">
        <f t="shared" si="1"/>
        <v>-3.7132757032944184E-2</v>
      </c>
    </row>
    <row r="19" spans="1:10">
      <c r="A19" s="204"/>
      <c r="B19" s="211"/>
      <c r="C19" s="218"/>
      <c r="D19" s="211"/>
      <c r="E19" s="210"/>
      <c r="F19" s="211"/>
      <c r="G19" s="210"/>
      <c r="H19" s="210"/>
      <c r="I19" s="102">
        <f t="shared" si="0"/>
        <v>0</v>
      </c>
      <c r="J19" s="102">
        <f t="shared" si="1"/>
        <v>0</v>
      </c>
    </row>
    <row r="20" spans="1:10">
      <c r="A20" s="216" t="s">
        <v>259</v>
      </c>
      <c r="B20" s="215">
        <f>B14+B18</f>
        <v>-5403</v>
      </c>
      <c r="C20" s="215"/>
      <c r="D20" s="215">
        <f>D14+D18</f>
        <v>-7721</v>
      </c>
      <c r="E20" s="215"/>
      <c r="F20" s="215">
        <f>F14+F18</f>
        <v>-3984</v>
      </c>
      <c r="G20" s="215"/>
      <c r="H20" s="215">
        <f>H14+H18</f>
        <v>-4678</v>
      </c>
      <c r="I20" s="102">
        <f t="shared" si="0"/>
        <v>-7.9044304011354802E-2</v>
      </c>
      <c r="J20" s="102">
        <f t="shared" si="1"/>
        <v>-5.9174761607699848E-2</v>
      </c>
    </row>
    <row r="21" spans="1:10">
      <c r="A21" s="209" t="s">
        <v>260</v>
      </c>
      <c r="B21" s="215"/>
      <c r="C21" s="215"/>
      <c r="D21" s="215"/>
      <c r="E21" s="215"/>
      <c r="F21" s="215"/>
      <c r="G21" s="215"/>
      <c r="H21" s="215"/>
      <c r="I21" s="102">
        <f t="shared" si="0"/>
        <v>0</v>
      </c>
      <c r="J21" s="102">
        <f t="shared" si="1"/>
        <v>0</v>
      </c>
    </row>
    <row r="22" spans="1:10">
      <c r="A22" s="209" t="s">
        <v>273</v>
      </c>
      <c r="B22" s="215"/>
      <c r="C22" s="215"/>
      <c r="D22" s="215"/>
      <c r="E22" s="215"/>
      <c r="F22" s="215">
        <v>-2049</v>
      </c>
      <c r="G22" s="215"/>
      <c r="H22" s="222">
        <v>-921</v>
      </c>
      <c r="I22" s="102">
        <f t="shared" si="0"/>
        <v>-1.5562164171538644E-2</v>
      </c>
      <c r="J22" s="102">
        <f t="shared" si="1"/>
        <v>-3.0434007664201051E-2</v>
      </c>
    </row>
    <row r="23" spans="1:10" ht="15" thickBot="1">
      <c r="A23" s="209" t="s">
        <v>274</v>
      </c>
      <c r="B23" s="214"/>
      <c r="C23" s="215"/>
      <c r="D23" s="214"/>
      <c r="E23" s="215"/>
      <c r="F23" s="214">
        <v>615</v>
      </c>
      <c r="G23" s="215"/>
      <c r="H23" s="214">
        <v>-2163</v>
      </c>
      <c r="I23" s="102">
        <f t="shared" si="0"/>
        <v>-3.6548274813287825E-2</v>
      </c>
      <c r="J23" s="102">
        <f t="shared" si="1"/>
        <v>9.1346582301042693E-3</v>
      </c>
    </row>
    <row r="24" spans="1:10">
      <c r="A24" s="204"/>
      <c r="B24" s="211"/>
      <c r="C24" s="218"/>
      <c r="D24" s="211"/>
      <c r="E24" s="210"/>
      <c r="F24" s="211"/>
      <c r="G24" s="210"/>
      <c r="H24" s="210"/>
      <c r="I24" s="102">
        <f t="shared" si="0"/>
        <v>0</v>
      </c>
      <c r="J24" s="102">
        <f t="shared" si="1"/>
        <v>0</v>
      </c>
    </row>
    <row r="25" spans="1:10" ht="15" thickBot="1">
      <c r="A25" s="216" t="s">
        <v>275</v>
      </c>
      <c r="B25" s="223">
        <f>SUM(B20:B24)</f>
        <v>-5403</v>
      </c>
      <c r="C25" s="218"/>
      <c r="D25" s="223">
        <f>SUM(D20:D24)</f>
        <v>-7721</v>
      </c>
      <c r="E25" s="210"/>
      <c r="F25" s="223">
        <f>SUM(F20:F24)</f>
        <v>-5418</v>
      </c>
      <c r="G25" s="210"/>
      <c r="H25" s="223">
        <f>SUM(H20:H24)</f>
        <v>-7762</v>
      </c>
      <c r="I25" s="102">
        <f t="shared" si="0"/>
        <v>-0.13115474299618127</v>
      </c>
      <c r="J25" s="102">
        <f t="shared" si="1"/>
        <v>-8.0474111041796637E-2</v>
      </c>
    </row>
    <row r="26" spans="1:10" ht="15" thickTop="1">
      <c r="A26" s="204"/>
      <c r="B26" s="211"/>
      <c r="C26" s="218"/>
      <c r="D26" s="211"/>
      <c r="E26" s="210"/>
      <c r="F26" s="211"/>
      <c r="G26" s="210"/>
      <c r="H26" s="210"/>
    </row>
    <row r="27" spans="1:10">
      <c r="A27" s="204"/>
      <c r="B27" s="211"/>
      <c r="C27" s="218"/>
      <c r="D27" s="211"/>
      <c r="E27" s="210"/>
      <c r="F27" s="210"/>
      <c r="G27" s="210"/>
      <c r="H27" s="210"/>
    </row>
    <row r="28" spans="1:10">
      <c r="A28" s="216" t="s">
        <v>261</v>
      </c>
      <c r="B28" s="407"/>
      <c r="C28" s="408"/>
      <c r="D28" s="407"/>
      <c r="E28" s="406"/>
      <c r="F28" s="215"/>
      <c r="G28" s="215"/>
      <c r="H28" s="215"/>
    </row>
    <row r="29" spans="1:10">
      <c r="A29" s="216"/>
      <c r="B29" s="407"/>
      <c r="C29" s="408"/>
      <c r="D29" s="407"/>
      <c r="E29" s="406"/>
      <c r="F29" s="215"/>
      <c r="G29" s="215"/>
      <c r="H29" s="215"/>
    </row>
    <row r="30" spans="1:10">
      <c r="A30" s="209" t="s">
        <v>262</v>
      </c>
      <c r="B30" s="407"/>
      <c r="C30" s="408"/>
      <c r="D30" s="407"/>
      <c r="E30" s="406"/>
      <c r="F30" s="215">
        <v>-5403</v>
      </c>
      <c r="G30" s="215"/>
      <c r="H30" s="212">
        <v>-7721</v>
      </c>
    </row>
    <row r="31" spans="1:10">
      <c r="A31" s="209" t="s">
        <v>69</v>
      </c>
      <c r="B31" s="224"/>
      <c r="C31" s="225"/>
      <c r="D31" s="224"/>
      <c r="E31" s="52"/>
      <c r="F31" s="215">
        <v>-15</v>
      </c>
      <c r="G31" s="215"/>
      <c r="H31" s="217">
        <v>-41</v>
      </c>
    </row>
    <row r="32" spans="1:10" ht="15" thickBot="1">
      <c r="A32" s="204"/>
      <c r="B32" s="224"/>
      <c r="C32" s="225"/>
      <c r="D32" s="224"/>
      <c r="E32" s="52"/>
      <c r="F32" s="226"/>
      <c r="G32" s="52"/>
      <c r="H32" s="226"/>
    </row>
    <row r="33" spans="1:16">
      <c r="A33" s="204"/>
      <c r="B33" s="224"/>
      <c r="C33" s="225"/>
      <c r="D33" s="224"/>
      <c r="E33" s="52"/>
      <c r="F33" s="52"/>
      <c r="G33" s="52"/>
      <c r="H33" s="52"/>
    </row>
    <row r="34" spans="1:16" ht="15" thickBot="1">
      <c r="A34" s="204"/>
      <c r="B34" s="224"/>
      <c r="C34" s="225"/>
      <c r="D34" s="224"/>
      <c r="E34" s="52"/>
      <c r="F34" s="227">
        <f>SUM(F28:F32)</f>
        <v>-5418</v>
      </c>
      <c r="G34" s="52"/>
      <c r="H34" s="227">
        <f>SUM(H28:H32)</f>
        <v>-7762</v>
      </c>
    </row>
    <row r="35" spans="1:16" ht="109.5" customHeight="1" thickTop="1">
      <c r="A35" s="205" t="s">
        <v>276</v>
      </c>
      <c r="B35" s="224"/>
      <c r="C35" s="225"/>
      <c r="D35" s="224"/>
      <c r="E35" s="52"/>
      <c r="F35" s="52"/>
      <c r="G35" s="52"/>
      <c r="H35" s="52"/>
    </row>
    <row r="36" spans="1:16" ht="48.75" customHeight="1">
      <c r="A36" s="205" t="s">
        <v>277</v>
      </c>
      <c r="B36" s="224"/>
      <c r="C36" s="225"/>
      <c r="D36" s="224"/>
      <c r="E36" s="52"/>
      <c r="F36" s="52"/>
      <c r="G36" s="52"/>
      <c r="H36" s="52"/>
    </row>
    <row r="37" spans="1:16">
      <c r="A37" s="52"/>
      <c r="B37" s="224"/>
      <c r="C37" s="225"/>
      <c r="D37" s="224"/>
      <c r="E37" s="52"/>
      <c r="F37" s="52"/>
      <c r="G37" s="52"/>
      <c r="H37" s="52"/>
      <c r="L37" t="s">
        <v>278</v>
      </c>
    </row>
    <row r="38" spans="1:16">
      <c r="A38" s="216" t="s">
        <v>279</v>
      </c>
      <c r="B38" s="224"/>
      <c r="C38" s="225"/>
      <c r="D38" s="224"/>
      <c r="E38" s="52"/>
      <c r="F38" s="52"/>
      <c r="G38" s="52"/>
      <c r="H38" s="52"/>
      <c r="L38" t="s">
        <v>280</v>
      </c>
      <c r="N38" s="203">
        <v>77473553.7675841</v>
      </c>
      <c r="O38" t="s">
        <v>281</v>
      </c>
      <c r="P38" s="228">
        <v>41639</v>
      </c>
    </row>
    <row r="39" spans="1:16" ht="15" thickBot="1">
      <c r="A39" s="209" t="s">
        <v>282</v>
      </c>
      <c r="B39" s="224"/>
      <c r="C39" s="225"/>
      <c r="D39" s="224"/>
      <c r="E39" s="52"/>
      <c r="F39" s="229">
        <f>F30/(N38/1000)</f>
        <v>-6.973992720417431E-2</v>
      </c>
      <c r="G39" s="52"/>
      <c r="H39" s="230">
        <v>-0.108</v>
      </c>
      <c r="L39" t="s">
        <v>283</v>
      </c>
      <c r="N39" s="203"/>
    </row>
    <row r="40" spans="1:16" ht="15" thickTop="1">
      <c r="A40" s="204"/>
      <c r="B40" s="52"/>
      <c r="C40" s="52"/>
      <c r="D40" s="52"/>
      <c r="E40" s="52"/>
      <c r="F40" s="231"/>
      <c r="G40" s="52"/>
      <c r="H40" s="52"/>
      <c r="L40" t="s">
        <v>284</v>
      </c>
      <c r="N40" s="203">
        <v>3050178.8136986303</v>
      </c>
    </row>
    <row r="41" spans="1:16">
      <c r="A41" s="216" t="s">
        <v>285</v>
      </c>
      <c r="B41" s="52"/>
      <c r="C41" s="52"/>
      <c r="D41" s="52"/>
      <c r="E41" s="52"/>
      <c r="F41" s="231"/>
      <c r="G41" s="52"/>
      <c r="H41" s="52"/>
    </row>
    <row r="42" spans="1:16" ht="15" thickBot="1">
      <c r="A42" s="209" t="s">
        <v>286</v>
      </c>
      <c r="B42" s="52"/>
      <c r="C42" s="52"/>
      <c r="D42" s="52"/>
      <c r="E42" s="52"/>
      <c r="F42" s="229">
        <f>F30/(N42/1000)</f>
        <v>-6.7098230879276147E-2</v>
      </c>
      <c r="G42" s="52"/>
      <c r="H42" s="230">
        <v>-9.6000000000000002E-2</v>
      </c>
      <c r="L42" t="s">
        <v>287</v>
      </c>
      <c r="N42" s="232">
        <f>SUM(N38:N40)</f>
        <v>80523732.581282735</v>
      </c>
    </row>
    <row r="43" spans="1:16" ht="15" thickTop="1">
      <c r="F43" s="233"/>
    </row>
    <row r="44" spans="1:16">
      <c r="F44" s="233"/>
      <c r="L44" t="s">
        <v>288</v>
      </c>
      <c r="N44" s="234">
        <f>G36/(N38/1000)</f>
        <v>0</v>
      </c>
    </row>
    <row r="45" spans="1:16">
      <c r="L45" t="s">
        <v>289</v>
      </c>
      <c r="N45" s="234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09375" defaultRowHeight="13.2"/>
  <cols>
    <col min="1" max="1" width="56.88671875" style="104" bestFit="1" customWidth="1"/>
    <col min="2" max="2" width="2.88671875" style="104" customWidth="1"/>
    <col min="3" max="3" width="10.88671875" style="104" bestFit="1" customWidth="1"/>
    <col min="4" max="4" width="7.5546875" style="104" bestFit="1" customWidth="1"/>
    <col min="5" max="5" width="9.109375" style="104" bestFit="1" customWidth="1"/>
    <col min="6" max="6" width="9.88671875" style="104" bestFit="1" customWidth="1"/>
    <col min="7" max="7" width="7.109375" style="104" bestFit="1" customWidth="1"/>
    <col min="8" max="8" width="9.109375" style="104" bestFit="1" customWidth="1"/>
    <col min="9" max="9" width="10.109375" style="104" bestFit="1" customWidth="1"/>
    <col min="10" max="10" width="15.88671875" style="104" customWidth="1"/>
    <col min="11" max="11" width="16.5546875" style="104" customWidth="1"/>
    <col min="12" max="12" width="14.5546875" style="104" customWidth="1"/>
    <col min="13" max="14" width="14.5546875" style="104" hidden="1" customWidth="1"/>
    <col min="15" max="15" width="9.109375" style="104" hidden="1" customWidth="1"/>
    <col min="16" max="16" width="15.44140625" style="104" hidden="1" customWidth="1"/>
    <col min="17" max="18" width="9.109375" style="104" hidden="1" customWidth="1"/>
    <col min="19" max="19" width="4.88671875" style="104" hidden="1" customWidth="1"/>
    <col min="20" max="20" width="41.109375" style="104" hidden="1" customWidth="1"/>
    <col min="21" max="21" width="12.88671875" style="104" hidden="1" customWidth="1"/>
    <col min="22" max="22" width="26.109375" style="104" hidden="1" customWidth="1"/>
    <col min="23" max="23" width="4.88671875" style="104" hidden="1" customWidth="1"/>
    <col min="24" max="25" width="11" style="104" hidden="1" customWidth="1"/>
    <col min="26" max="26" width="0" style="104" hidden="1" customWidth="1"/>
    <col min="27" max="27" width="43" style="104" customWidth="1"/>
    <col min="28" max="28" width="4" style="104" customWidth="1"/>
    <col min="29" max="29" width="10.109375" style="104" bestFit="1" customWidth="1"/>
    <col min="30" max="16384" width="9.109375" style="104"/>
  </cols>
  <sheetData>
    <row r="1" spans="1:18">
      <c r="A1" s="183" t="s">
        <v>70</v>
      </c>
      <c r="B1" s="155"/>
      <c r="C1" s="155"/>
      <c r="D1" s="155"/>
      <c r="E1" s="155"/>
      <c r="F1" s="155"/>
      <c r="G1" s="155"/>
      <c r="H1" s="155"/>
      <c r="I1" s="155"/>
      <c r="J1" s="155"/>
      <c r="K1" s="171">
        <v>41743.60204849537</v>
      </c>
      <c r="L1" s="155"/>
      <c r="M1" s="155"/>
      <c r="N1" s="155"/>
      <c r="O1" s="155"/>
      <c r="P1" s="155"/>
      <c r="Q1" s="155"/>
      <c r="R1" s="155"/>
    </row>
    <row r="2" spans="1:18">
      <c r="A2" s="183" t="s">
        <v>71</v>
      </c>
      <c r="B2" s="155"/>
      <c r="C2" s="170">
        <v>41729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pans="1:18">
      <c r="A4" s="155"/>
      <c r="B4" s="155"/>
      <c r="C4" s="196" t="s">
        <v>72</v>
      </c>
      <c r="D4" s="155" t="s">
        <v>73</v>
      </c>
      <c r="E4" s="166" t="s">
        <v>74</v>
      </c>
      <c r="F4" s="166" t="s">
        <v>75</v>
      </c>
      <c r="G4" s="166" t="s">
        <v>76</v>
      </c>
      <c r="H4" s="176" t="s">
        <v>77</v>
      </c>
      <c r="I4" s="155" t="s">
        <v>78</v>
      </c>
      <c r="J4" s="184" t="s">
        <v>79</v>
      </c>
      <c r="K4" s="166" t="s">
        <v>80</v>
      </c>
      <c r="L4" s="155"/>
      <c r="M4" s="155"/>
      <c r="N4" s="155"/>
      <c r="O4" s="155"/>
      <c r="P4" s="155"/>
      <c r="Q4" s="155"/>
      <c r="R4" s="155"/>
    </row>
    <row r="5" spans="1:18">
      <c r="A5" s="155" t="s">
        <v>81</v>
      </c>
      <c r="B5" s="155"/>
      <c r="C5" s="197">
        <v>41729</v>
      </c>
      <c r="D5" s="167">
        <v>41729</v>
      </c>
      <c r="E5" s="193">
        <v>41729</v>
      </c>
      <c r="F5" s="193">
        <v>41729</v>
      </c>
      <c r="G5" s="193">
        <v>41729</v>
      </c>
      <c r="H5" s="193">
        <v>41729</v>
      </c>
      <c r="I5" s="193">
        <v>41729</v>
      </c>
      <c r="J5" s="185" t="s">
        <v>82</v>
      </c>
      <c r="K5" s="168" t="s">
        <v>83</v>
      </c>
      <c r="L5" s="200" t="s">
        <v>84</v>
      </c>
      <c r="M5" s="169" t="s">
        <v>85</v>
      </c>
      <c r="N5" s="169" t="s">
        <v>72</v>
      </c>
      <c r="O5" s="169" t="s">
        <v>86</v>
      </c>
      <c r="P5" s="169" t="s">
        <v>74</v>
      </c>
      <c r="Q5" s="169" t="s">
        <v>87</v>
      </c>
      <c r="R5" s="172" t="s">
        <v>88</v>
      </c>
    </row>
    <row r="7" spans="1:18">
      <c r="A7" s="155"/>
      <c r="B7" s="155"/>
      <c r="C7" s="187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</row>
    <row r="8" spans="1:18">
      <c r="A8" s="155"/>
      <c r="B8" s="156"/>
      <c r="C8" s="156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</row>
    <row r="9" spans="1:18">
      <c r="A9" s="155" t="s">
        <v>89</v>
      </c>
      <c r="B9" s="156"/>
      <c r="C9" s="156">
        <v>47067</v>
      </c>
      <c r="D9" s="156">
        <v>6</v>
      </c>
      <c r="E9" s="156">
        <v>3228</v>
      </c>
      <c r="F9" s="156">
        <v>1623</v>
      </c>
      <c r="G9" s="156">
        <v>-2</v>
      </c>
      <c r="H9" s="156">
        <v>0</v>
      </c>
      <c r="I9" s="156">
        <v>51922</v>
      </c>
      <c r="J9" s="156"/>
      <c r="K9" s="163"/>
      <c r="L9" s="163">
        <v>51922</v>
      </c>
      <c r="M9" s="163"/>
      <c r="N9" s="163">
        <v>47067</v>
      </c>
      <c r="O9" s="163"/>
      <c r="P9" s="163">
        <v>3228</v>
      </c>
      <c r="Q9" s="163"/>
      <c r="R9" s="163">
        <v>1623</v>
      </c>
    </row>
    <row r="10" spans="1:18">
      <c r="A10" s="155" t="s">
        <v>90</v>
      </c>
      <c r="B10" s="156"/>
      <c r="C10" s="187">
        <v>2765</v>
      </c>
      <c r="D10" s="156">
        <v>6</v>
      </c>
      <c r="E10" s="156">
        <v>2436</v>
      </c>
      <c r="F10" s="156">
        <v>1623</v>
      </c>
      <c r="G10" s="156">
        <v>-2</v>
      </c>
      <c r="H10" s="156"/>
      <c r="I10" s="163">
        <v>6828</v>
      </c>
      <c r="J10" s="163"/>
      <c r="K10" s="155"/>
      <c r="L10" s="163">
        <v>6828</v>
      </c>
      <c r="M10" s="163"/>
      <c r="N10" s="163">
        <v>2765</v>
      </c>
      <c r="O10" s="163"/>
      <c r="P10" s="163">
        <v>2436</v>
      </c>
      <c r="Q10" s="163"/>
      <c r="R10" s="163">
        <v>1623</v>
      </c>
    </row>
    <row r="11" spans="1:18">
      <c r="A11" s="155" t="s">
        <v>91</v>
      </c>
      <c r="B11" s="156"/>
      <c r="C11" s="175">
        <v>44302</v>
      </c>
      <c r="D11" s="155"/>
      <c r="E11" s="156">
        <v>792</v>
      </c>
      <c r="F11" s="156"/>
      <c r="G11" s="156"/>
      <c r="H11" s="156"/>
      <c r="I11" s="163">
        <v>45094</v>
      </c>
      <c r="J11" s="163"/>
      <c r="K11" s="155"/>
      <c r="L11" s="163">
        <v>45094</v>
      </c>
      <c r="M11" s="163"/>
      <c r="N11" s="163">
        <v>44302</v>
      </c>
      <c r="O11" s="163"/>
      <c r="P11" s="163">
        <v>792</v>
      </c>
      <c r="Q11" s="163"/>
      <c r="R11" s="163">
        <v>0</v>
      </c>
    </row>
    <row r="12" spans="1:18">
      <c r="A12" s="162" t="s">
        <v>92</v>
      </c>
      <c r="B12" s="156"/>
      <c r="C12" s="156"/>
      <c r="D12" s="155"/>
      <c r="E12" s="156"/>
      <c r="F12" s="156"/>
      <c r="G12" s="156"/>
      <c r="H12" s="156"/>
      <c r="I12" s="163">
        <v>0</v>
      </c>
      <c r="J12" s="163"/>
      <c r="K12" s="155"/>
      <c r="L12" s="163">
        <v>0</v>
      </c>
      <c r="M12" s="163"/>
      <c r="N12" s="163">
        <v>0</v>
      </c>
      <c r="O12" s="163"/>
      <c r="P12" s="163">
        <v>0</v>
      </c>
      <c r="Q12" s="163"/>
      <c r="R12" s="163">
        <v>0</v>
      </c>
    </row>
    <row r="13" spans="1:18">
      <c r="A13" s="155" t="s">
        <v>93</v>
      </c>
      <c r="B13" s="156"/>
      <c r="C13" s="191">
        <v>196506</v>
      </c>
      <c r="D13" s="155"/>
      <c r="E13" s="156">
        <v>2697</v>
      </c>
      <c r="F13" s="155"/>
      <c r="G13" s="156">
        <v>239</v>
      </c>
      <c r="H13" s="156"/>
      <c r="I13" s="163">
        <v>199442</v>
      </c>
      <c r="J13" s="163"/>
      <c r="K13" s="156">
        <v>6013</v>
      </c>
      <c r="L13" s="163">
        <v>193429</v>
      </c>
      <c r="M13" s="163"/>
      <c r="N13" s="163">
        <v>196506</v>
      </c>
      <c r="O13" s="163"/>
      <c r="P13" s="163">
        <v>2697</v>
      </c>
      <c r="Q13" s="163"/>
      <c r="R13" s="163">
        <v>0</v>
      </c>
    </row>
    <row r="14" spans="1:18">
      <c r="A14" s="155" t="s">
        <v>94</v>
      </c>
      <c r="B14" s="156"/>
      <c r="C14" s="191">
        <v>-3365</v>
      </c>
      <c r="D14" s="155"/>
      <c r="E14" s="156"/>
      <c r="F14" s="155"/>
      <c r="G14" s="155"/>
      <c r="H14" s="156"/>
      <c r="I14" s="163">
        <v>-3365</v>
      </c>
      <c r="J14" s="163"/>
      <c r="K14" s="156"/>
      <c r="L14" s="163">
        <v>-3365</v>
      </c>
      <c r="M14" s="163"/>
      <c r="N14" s="163">
        <v>-3365</v>
      </c>
      <c r="O14" s="163"/>
      <c r="P14" s="163">
        <v>0</v>
      </c>
      <c r="Q14" s="163"/>
      <c r="R14" s="163">
        <v>0</v>
      </c>
    </row>
    <row r="15" spans="1:18">
      <c r="A15" s="155" t="s">
        <v>95</v>
      </c>
      <c r="B15" s="156"/>
      <c r="C15" s="202">
        <v>181336</v>
      </c>
      <c r="D15" s="155"/>
      <c r="E15" s="156">
        <v>4930</v>
      </c>
      <c r="F15" s="155"/>
      <c r="G15" s="155"/>
      <c r="H15" s="156"/>
      <c r="I15" s="163">
        <v>186266</v>
      </c>
      <c r="J15" s="163">
        <v>0</v>
      </c>
      <c r="K15" s="175">
        <v>2470</v>
      </c>
      <c r="L15" s="163">
        <v>183796</v>
      </c>
      <c r="M15" s="163"/>
      <c r="N15" s="163">
        <v>181336</v>
      </c>
      <c r="O15" s="163"/>
      <c r="P15" s="163">
        <v>4930</v>
      </c>
      <c r="Q15" s="163"/>
      <c r="R15" s="163">
        <v>0</v>
      </c>
    </row>
    <row r="16" spans="1:18">
      <c r="A16" s="155" t="s">
        <v>96</v>
      </c>
      <c r="B16" s="156"/>
      <c r="C16" s="175">
        <v>12573</v>
      </c>
      <c r="D16" s="155"/>
      <c r="E16" s="156">
        <v>469</v>
      </c>
      <c r="F16" s="156">
        <v>1073</v>
      </c>
      <c r="G16" s="156">
        <v>9</v>
      </c>
      <c r="H16" s="156"/>
      <c r="I16" s="163">
        <v>14124</v>
      </c>
      <c r="J16" s="163"/>
      <c r="K16" s="156"/>
      <c r="L16" s="163">
        <v>14124</v>
      </c>
      <c r="M16" s="163"/>
      <c r="N16" s="163">
        <v>12573</v>
      </c>
      <c r="O16" s="163"/>
      <c r="P16" s="163">
        <v>469</v>
      </c>
      <c r="Q16" s="163"/>
      <c r="R16" s="163">
        <v>1073</v>
      </c>
    </row>
    <row r="17" spans="1:18">
      <c r="A17" s="162" t="s">
        <v>97</v>
      </c>
      <c r="B17" s="156"/>
      <c r="C17" s="175"/>
      <c r="D17" s="155"/>
      <c r="E17" s="156"/>
      <c r="F17" s="155"/>
      <c r="G17" s="156"/>
      <c r="H17" s="156"/>
      <c r="I17" s="163">
        <v>0</v>
      </c>
      <c r="J17" s="163"/>
      <c r="K17" s="156"/>
      <c r="L17" s="163">
        <v>0</v>
      </c>
      <c r="M17" s="163"/>
      <c r="N17" s="163">
        <v>0</v>
      </c>
      <c r="O17" s="163"/>
      <c r="P17" s="163">
        <v>0</v>
      </c>
      <c r="Q17" s="163"/>
      <c r="R17" s="163">
        <v>0</v>
      </c>
    </row>
    <row r="18" spans="1:18">
      <c r="A18" s="155" t="s">
        <v>98</v>
      </c>
      <c r="B18" s="156"/>
      <c r="C18" s="173">
        <v>4454</v>
      </c>
      <c r="D18" s="155"/>
      <c r="E18" s="156"/>
      <c r="F18" s="155"/>
      <c r="G18" s="156"/>
      <c r="H18" s="156"/>
      <c r="I18" s="163">
        <v>4454</v>
      </c>
      <c r="J18" s="163"/>
      <c r="K18" s="156"/>
      <c r="L18" s="163">
        <v>4454</v>
      </c>
      <c r="M18" s="163"/>
      <c r="N18" s="163">
        <v>4454</v>
      </c>
      <c r="O18" s="163"/>
      <c r="P18" s="163">
        <v>0</v>
      </c>
      <c r="Q18" s="163"/>
      <c r="R18" s="163">
        <v>0</v>
      </c>
    </row>
    <row r="19" spans="1:18">
      <c r="A19" s="155" t="s">
        <v>99</v>
      </c>
      <c r="B19" s="156"/>
      <c r="C19" s="175">
        <v>31914</v>
      </c>
      <c r="D19" s="155"/>
      <c r="E19" s="156">
        <v>618</v>
      </c>
      <c r="F19" s="163">
        <v>2128</v>
      </c>
      <c r="G19" s="156"/>
      <c r="H19" s="156"/>
      <c r="I19" s="163">
        <v>34660</v>
      </c>
      <c r="J19" s="163"/>
      <c r="K19" s="156">
        <v>10979</v>
      </c>
      <c r="L19" s="163">
        <v>23681</v>
      </c>
      <c r="M19" s="163"/>
      <c r="N19" s="163">
        <v>31914</v>
      </c>
      <c r="O19" s="163"/>
      <c r="P19" s="163">
        <v>618</v>
      </c>
      <c r="Q19" s="163"/>
      <c r="R19" s="163">
        <v>2128</v>
      </c>
    </row>
    <row r="20" spans="1:18">
      <c r="A20" s="162" t="s">
        <v>100</v>
      </c>
      <c r="B20" s="156"/>
      <c r="C20" s="177"/>
      <c r="D20" s="165"/>
      <c r="E20" s="157"/>
      <c r="F20" s="177">
        <v>14470</v>
      </c>
      <c r="G20" s="157"/>
      <c r="H20" s="157"/>
      <c r="I20" s="164">
        <v>14470</v>
      </c>
      <c r="J20" s="164"/>
      <c r="K20" s="177">
        <v>14470</v>
      </c>
      <c r="L20" s="164">
        <v>0</v>
      </c>
      <c r="M20" s="165"/>
      <c r="N20" s="164">
        <v>0</v>
      </c>
      <c r="O20" s="157"/>
      <c r="P20" s="164">
        <v>0</v>
      </c>
      <c r="Q20" s="157"/>
      <c r="R20" s="164">
        <v>14470</v>
      </c>
    </row>
    <row r="21" spans="1:18">
      <c r="A21" s="155" t="s">
        <v>101</v>
      </c>
      <c r="B21" s="156"/>
      <c r="C21" s="175">
        <v>470485</v>
      </c>
      <c r="D21" s="156">
        <v>6</v>
      </c>
      <c r="E21" s="156">
        <v>11942</v>
      </c>
      <c r="F21" s="156">
        <v>19294</v>
      </c>
      <c r="G21" s="156">
        <v>246</v>
      </c>
      <c r="H21" s="156">
        <v>0</v>
      </c>
      <c r="I21" s="156">
        <v>501973</v>
      </c>
      <c r="J21" s="156">
        <v>0</v>
      </c>
      <c r="K21" s="156">
        <v>33932</v>
      </c>
      <c r="L21" s="156">
        <v>468041</v>
      </c>
      <c r="M21" s="156">
        <v>0</v>
      </c>
      <c r="N21" s="156">
        <v>470485</v>
      </c>
      <c r="O21" s="156">
        <v>0</v>
      </c>
      <c r="P21" s="156">
        <v>11942</v>
      </c>
      <c r="Q21" s="156">
        <v>0</v>
      </c>
      <c r="R21" s="156">
        <v>19294</v>
      </c>
    </row>
    <row r="22" spans="1:18">
      <c r="A22" s="155"/>
      <c r="B22" s="156"/>
      <c r="C22" s="175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</row>
    <row r="23" spans="1:18">
      <c r="A23" s="155" t="s">
        <v>102</v>
      </c>
      <c r="B23" s="156"/>
      <c r="C23" s="175">
        <v>8625</v>
      </c>
      <c r="D23" s="155"/>
      <c r="E23" s="156"/>
      <c r="F23" s="155"/>
      <c r="G23" s="156"/>
      <c r="H23" s="156"/>
      <c r="I23" s="163">
        <v>8625</v>
      </c>
      <c r="J23" s="163"/>
      <c r="K23" s="156"/>
      <c r="L23" s="163">
        <v>8625</v>
      </c>
      <c r="M23" s="155"/>
      <c r="N23" s="163">
        <v>8625</v>
      </c>
      <c r="O23" s="155"/>
      <c r="P23" s="163">
        <v>0</v>
      </c>
      <c r="Q23" s="155"/>
      <c r="R23" s="163">
        <v>0</v>
      </c>
    </row>
    <row r="24" spans="1:18">
      <c r="A24" s="162" t="s">
        <v>103</v>
      </c>
      <c r="B24" s="156"/>
      <c r="C24" s="175">
        <v>4570</v>
      </c>
      <c r="D24" s="155"/>
      <c r="E24" s="156"/>
      <c r="F24" s="156"/>
      <c r="G24" s="156"/>
      <c r="H24" s="156"/>
      <c r="I24" s="163">
        <v>4570</v>
      </c>
      <c r="J24" s="163"/>
      <c r="K24" s="156"/>
      <c r="L24" s="163">
        <v>4570</v>
      </c>
      <c r="M24" s="155"/>
      <c r="N24" s="163">
        <v>4570</v>
      </c>
      <c r="O24" s="155"/>
      <c r="P24" s="163">
        <v>0</v>
      </c>
      <c r="Q24" s="155"/>
      <c r="R24" s="163">
        <v>0</v>
      </c>
    </row>
    <row r="25" spans="1:18">
      <c r="A25" s="155" t="s">
        <v>104</v>
      </c>
      <c r="B25" s="155"/>
      <c r="C25" s="175">
        <v>24707</v>
      </c>
      <c r="D25" s="162"/>
      <c r="E25" s="156"/>
      <c r="F25" s="155"/>
      <c r="G25" s="156"/>
      <c r="H25" s="156"/>
      <c r="I25" s="163">
        <v>24707</v>
      </c>
      <c r="J25" s="163"/>
      <c r="K25" s="155"/>
      <c r="L25" s="163">
        <v>24707</v>
      </c>
      <c r="M25" s="163"/>
      <c r="N25" s="163">
        <v>24707</v>
      </c>
      <c r="O25" s="163"/>
      <c r="P25" s="163">
        <v>0</v>
      </c>
      <c r="Q25" s="163"/>
      <c r="R25" s="163">
        <v>0</v>
      </c>
    </row>
    <row r="26" spans="1:18">
      <c r="A26" s="162" t="s">
        <v>105</v>
      </c>
      <c r="B26" s="156"/>
      <c r="C26" s="191">
        <v>7806</v>
      </c>
      <c r="D26" s="155"/>
      <c r="E26" s="156"/>
      <c r="F26" s="155"/>
      <c r="G26" s="156"/>
      <c r="H26" s="156"/>
      <c r="I26" s="163">
        <v>7806</v>
      </c>
      <c r="J26" s="163"/>
      <c r="K26" s="155"/>
      <c r="L26" s="163">
        <v>7806</v>
      </c>
      <c r="M26" s="163"/>
      <c r="N26" s="163">
        <v>7806</v>
      </c>
      <c r="O26" s="163"/>
      <c r="P26" s="163">
        <v>0</v>
      </c>
      <c r="Q26" s="163"/>
      <c r="R26" s="163">
        <v>0</v>
      </c>
    </row>
    <row r="27" spans="1:18">
      <c r="A27" s="155" t="s">
        <v>106</v>
      </c>
      <c r="B27" s="156"/>
      <c r="C27" s="175">
        <v>246</v>
      </c>
      <c r="D27" s="155"/>
      <c r="E27" s="156">
        <v>9</v>
      </c>
      <c r="F27" s="155"/>
      <c r="G27" s="156"/>
      <c r="H27" s="156"/>
      <c r="I27" s="163">
        <v>255</v>
      </c>
      <c r="J27" s="163"/>
      <c r="K27" s="155"/>
      <c r="L27" s="163">
        <v>255</v>
      </c>
      <c r="M27" s="163"/>
      <c r="N27" s="163">
        <v>246</v>
      </c>
      <c r="O27" s="163"/>
      <c r="P27" s="163">
        <v>9</v>
      </c>
      <c r="Q27" s="163"/>
      <c r="R27" s="163">
        <v>0</v>
      </c>
    </row>
    <row r="28" spans="1:18">
      <c r="A28" s="162" t="s">
        <v>107</v>
      </c>
      <c r="B28" s="156"/>
      <c r="C28" s="175">
        <v>2144</v>
      </c>
      <c r="D28" s="155"/>
      <c r="E28" s="156"/>
      <c r="F28" s="155"/>
      <c r="G28" s="156"/>
      <c r="H28" s="156"/>
      <c r="I28" s="163">
        <v>2144</v>
      </c>
      <c r="J28" s="163"/>
      <c r="K28" s="155"/>
      <c r="L28" s="163">
        <v>2144</v>
      </c>
      <c r="M28" s="163"/>
      <c r="N28" s="163">
        <v>2144</v>
      </c>
      <c r="O28" s="163"/>
      <c r="P28" s="163">
        <v>0</v>
      </c>
      <c r="Q28" s="163"/>
      <c r="R28" s="163">
        <v>0</v>
      </c>
    </row>
    <row r="29" spans="1:18">
      <c r="A29" s="162" t="s">
        <v>108</v>
      </c>
      <c r="B29" s="156"/>
      <c r="C29" s="177"/>
      <c r="D29" s="165"/>
      <c r="E29" s="157"/>
      <c r="F29" s="165"/>
      <c r="G29" s="157"/>
      <c r="H29" s="157"/>
      <c r="I29" s="164">
        <v>0</v>
      </c>
      <c r="J29" s="164"/>
      <c r="K29" s="165"/>
      <c r="L29" s="164">
        <v>0</v>
      </c>
      <c r="M29" s="164"/>
      <c r="N29" s="164">
        <v>0</v>
      </c>
      <c r="O29" s="164"/>
      <c r="P29" s="164">
        <v>0</v>
      </c>
      <c r="Q29" s="164"/>
      <c r="R29" s="164">
        <v>0</v>
      </c>
    </row>
    <row r="30" spans="1:18">
      <c r="A30" s="155" t="s">
        <v>109</v>
      </c>
      <c r="B30" s="156"/>
      <c r="C30" s="175">
        <v>48098</v>
      </c>
      <c r="D30" s="156">
        <v>0</v>
      </c>
      <c r="E30" s="156">
        <v>9</v>
      </c>
      <c r="F30" s="156">
        <v>0</v>
      </c>
      <c r="G30" s="156"/>
      <c r="H30" s="156">
        <v>0</v>
      </c>
      <c r="I30" s="156">
        <v>48107</v>
      </c>
      <c r="J30" s="156"/>
      <c r="K30" s="155"/>
      <c r="L30" s="156">
        <v>48107</v>
      </c>
      <c r="M30" s="156">
        <v>0</v>
      </c>
      <c r="N30" s="156">
        <v>48098</v>
      </c>
      <c r="O30" s="156">
        <v>0</v>
      </c>
      <c r="P30" s="156">
        <v>9</v>
      </c>
      <c r="Q30" s="156">
        <v>0</v>
      </c>
      <c r="R30" s="156">
        <v>0</v>
      </c>
    </row>
    <row r="31" spans="1:18">
      <c r="A31" s="155"/>
      <c r="B31" s="156"/>
      <c r="C31" s="175"/>
      <c r="D31" s="155"/>
      <c r="E31" s="156"/>
      <c r="F31" s="155"/>
      <c r="G31" s="156"/>
      <c r="H31" s="156"/>
      <c r="I31" s="155"/>
      <c r="J31" s="155"/>
      <c r="K31" s="155"/>
      <c r="L31" s="155"/>
      <c r="M31" s="155"/>
      <c r="N31" s="155"/>
      <c r="O31" s="155"/>
      <c r="P31" s="155"/>
      <c r="Q31" s="155"/>
      <c r="R31" s="155"/>
    </row>
    <row r="32" spans="1:18">
      <c r="A32" s="155"/>
      <c r="B32" s="155"/>
      <c r="C32" s="155"/>
      <c r="D32" s="155"/>
      <c r="E32" s="156"/>
      <c r="F32" s="155"/>
      <c r="G32" s="156"/>
      <c r="H32" s="156"/>
      <c r="I32" s="155"/>
      <c r="J32" s="155"/>
      <c r="K32" s="155"/>
      <c r="L32" s="155"/>
      <c r="M32" s="155"/>
      <c r="N32" s="155"/>
      <c r="O32" s="155"/>
      <c r="P32" s="155"/>
      <c r="Q32" s="155"/>
      <c r="R32" s="155"/>
    </row>
    <row r="33" spans="1:19">
      <c r="A33" s="155"/>
      <c r="B33" s="156"/>
      <c r="C33" s="175"/>
      <c r="D33" s="155"/>
      <c r="E33" s="156"/>
      <c r="F33" s="155"/>
      <c r="G33" s="156"/>
      <c r="H33" s="156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</row>
    <row r="34" spans="1:19">
      <c r="A34" s="155" t="s">
        <v>110</v>
      </c>
      <c r="B34" s="156"/>
      <c r="C34" s="175">
        <v>58</v>
      </c>
      <c r="D34" s="155"/>
      <c r="E34" s="115">
        <v>0</v>
      </c>
      <c r="F34" s="175">
        <v>350886</v>
      </c>
      <c r="G34" s="156">
        <v>0</v>
      </c>
      <c r="H34" s="156"/>
      <c r="I34" s="163">
        <v>350944</v>
      </c>
      <c r="J34" s="163"/>
      <c r="K34" s="156">
        <v>350944</v>
      </c>
      <c r="L34" s="163">
        <v>0</v>
      </c>
      <c r="M34" s="163"/>
      <c r="N34" s="163">
        <v>58</v>
      </c>
      <c r="O34" s="163">
        <v>0</v>
      </c>
      <c r="P34" s="163">
        <v>0</v>
      </c>
      <c r="Q34" s="163">
        <v>0</v>
      </c>
      <c r="R34" s="163">
        <v>350886</v>
      </c>
      <c r="S34" s="155"/>
    </row>
    <row r="35" spans="1:19">
      <c r="A35" s="162" t="s">
        <v>111</v>
      </c>
      <c r="B35" s="156"/>
      <c r="C35" s="175">
        <v>78346</v>
      </c>
      <c r="D35" s="155"/>
      <c r="E35" s="156">
        <v>0</v>
      </c>
      <c r="F35" s="156">
        <v>0</v>
      </c>
      <c r="G35" s="156"/>
      <c r="H35" s="156"/>
      <c r="I35" s="163">
        <v>78346</v>
      </c>
      <c r="J35" s="163"/>
      <c r="K35" s="156"/>
      <c r="L35" s="163">
        <v>78346</v>
      </c>
      <c r="M35" s="163"/>
      <c r="N35" s="163">
        <v>78346</v>
      </c>
      <c r="O35" s="163"/>
      <c r="P35" s="163">
        <v>0</v>
      </c>
      <c r="Q35" s="163"/>
      <c r="R35" s="163">
        <v>0</v>
      </c>
      <c r="S35" s="163">
        <v>0</v>
      </c>
    </row>
    <row r="36" spans="1:19">
      <c r="A36" s="162" t="s">
        <v>112</v>
      </c>
      <c r="B36" s="156"/>
      <c r="C36" s="156">
        <v>103</v>
      </c>
      <c r="D36" s="155"/>
      <c r="E36" s="115"/>
      <c r="F36" s="156"/>
      <c r="G36" s="156"/>
      <c r="H36" s="156"/>
      <c r="I36" s="163">
        <v>103</v>
      </c>
      <c r="J36" s="163"/>
      <c r="K36" s="163"/>
      <c r="L36" s="163">
        <v>103</v>
      </c>
      <c r="M36" s="163"/>
      <c r="N36" s="163">
        <v>103</v>
      </c>
      <c r="O36" s="163"/>
      <c r="P36" s="163">
        <v>0</v>
      </c>
      <c r="Q36" s="163"/>
      <c r="R36" s="163">
        <v>0</v>
      </c>
      <c r="S36" s="155"/>
    </row>
    <row r="37" spans="1:19">
      <c r="A37" s="155" t="s">
        <v>113</v>
      </c>
      <c r="B37" s="156"/>
      <c r="C37" s="156">
        <v>40115</v>
      </c>
      <c r="D37" s="155"/>
      <c r="E37" s="156">
        <v>2194</v>
      </c>
      <c r="F37" s="155"/>
      <c r="G37" s="156"/>
      <c r="H37" s="156"/>
      <c r="I37" s="163">
        <v>42309</v>
      </c>
      <c r="J37" s="163"/>
      <c r="K37" s="155"/>
      <c r="L37" s="163">
        <v>42309</v>
      </c>
      <c r="M37" s="163">
        <v>0</v>
      </c>
      <c r="N37" s="163">
        <v>40115</v>
      </c>
      <c r="O37" s="163"/>
      <c r="P37" s="163">
        <v>2194</v>
      </c>
      <c r="Q37" s="163"/>
      <c r="R37" s="163">
        <v>0</v>
      </c>
      <c r="S37" s="155"/>
    </row>
    <row r="38" spans="1:19">
      <c r="A38" s="155" t="s">
        <v>114</v>
      </c>
      <c r="B38" s="156"/>
      <c r="C38" s="175">
        <v>39003</v>
      </c>
      <c r="D38" s="155"/>
      <c r="E38" s="156">
        <v>24101</v>
      </c>
      <c r="F38" s="156">
        <v>74959</v>
      </c>
      <c r="G38" s="156"/>
      <c r="H38" s="156"/>
      <c r="I38" s="163">
        <v>138063</v>
      </c>
      <c r="J38" s="163"/>
      <c r="K38" s="155"/>
      <c r="L38" s="163">
        <v>138063</v>
      </c>
      <c r="M38" s="163"/>
      <c r="N38" s="163">
        <v>39003</v>
      </c>
      <c r="O38" s="163"/>
      <c r="P38" s="163">
        <v>24101</v>
      </c>
      <c r="Q38" s="163"/>
      <c r="R38" s="163"/>
      <c r="S38" s="155"/>
    </row>
    <row r="39" spans="1:19">
      <c r="A39" s="155"/>
      <c r="B39" s="156"/>
      <c r="C39" s="157"/>
      <c r="D39" s="165"/>
      <c r="E39" s="157"/>
      <c r="F39" s="165"/>
      <c r="G39" s="157"/>
      <c r="H39" s="157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55"/>
    </row>
    <row r="40" spans="1:19">
      <c r="A40" s="155" t="s">
        <v>115</v>
      </c>
      <c r="B40" s="156"/>
      <c r="C40" s="156">
        <v>157625</v>
      </c>
      <c r="D40" s="155"/>
      <c r="E40" s="156">
        <v>26295</v>
      </c>
      <c r="F40" s="156">
        <v>425845</v>
      </c>
      <c r="G40" s="156">
        <v>0</v>
      </c>
      <c r="H40" s="156">
        <v>0</v>
      </c>
      <c r="I40" s="156">
        <v>609765</v>
      </c>
      <c r="J40" s="156">
        <v>0</v>
      </c>
      <c r="K40" s="156">
        <v>350944</v>
      </c>
      <c r="L40" s="156">
        <v>258821</v>
      </c>
      <c r="M40" s="156">
        <v>0</v>
      </c>
      <c r="N40" s="156">
        <v>157625</v>
      </c>
      <c r="O40" s="156">
        <v>0</v>
      </c>
      <c r="P40" s="156">
        <v>26295</v>
      </c>
      <c r="Q40" s="156">
        <v>0</v>
      </c>
      <c r="R40" s="156">
        <v>350886</v>
      </c>
      <c r="S40" s="155"/>
    </row>
    <row r="41" spans="1:19">
      <c r="A41" s="155"/>
      <c r="B41" s="156"/>
      <c r="C41" s="156"/>
      <c r="D41" s="155"/>
      <c r="E41" s="156"/>
      <c r="F41" s="156"/>
      <c r="G41" s="156"/>
      <c r="H41" s="156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</row>
    <row r="42" spans="1:19" ht="13.8" thickBot="1">
      <c r="A42" s="155" t="s">
        <v>116</v>
      </c>
      <c r="B42" s="156"/>
      <c r="C42" s="158">
        <v>676208</v>
      </c>
      <c r="D42" s="158">
        <v>6</v>
      </c>
      <c r="E42" s="158">
        <v>38246</v>
      </c>
      <c r="F42" s="158">
        <v>445139</v>
      </c>
      <c r="G42" s="158">
        <v>246</v>
      </c>
      <c r="H42" s="158">
        <v>0</v>
      </c>
      <c r="I42" s="158">
        <v>1159845</v>
      </c>
      <c r="J42" s="158">
        <v>0</v>
      </c>
      <c r="K42" s="158">
        <v>384876</v>
      </c>
      <c r="L42" s="158">
        <v>774969</v>
      </c>
      <c r="M42" s="158">
        <v>0</v>
      </c>
      <c r="N42" s="158">
        <v>676208</v>
      </c>
      <c r="O42" s="158">
        <v>0</v>
      </c>
      <c r="P42" s="158">
        <v>38246</v>
      </c>
      <c r="Q42" s="158">
        <v>0</v>
      </c>
      <c r="R42" s="158">
        <v>370180</v>
      </c>
      <c r="S42" s="155"/>
    </row>
    <row r="43" spans="1:19" ht="13.8" thickTop="1">
      <c r="A43" s="155"/>
      <c r="B43" s="155"/>
      <c r="C43" s="155"/>
      <c r="D43" s="155"/>
      <c r="E43" s="156"/>
      <c r="F43" s="155"/>
      <c r="G43" s="156"/>
      <c r="H43" s="156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</row>
    <row r="44" spans="1:19">
      <c r="A44" s="155"/>
      <c r="B44" s="155"/>
      <c r="C44" s="163"/>
      <c r="D44" s="155"/>
      <c r="E44" s="155"/>
      <c r="F44" s="163"/>
      <c r="G44" s="156"/>
      <c r="H44" s="156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</row>
    <row r="45" spans="1:19">
      <c r="A45" s="155"/>
      <c r="B45" s="155"/>
      <c r="C45" s="163"/>
      <c r="D45" s="155"/>
      <c r="E45" s="155"/>
      <c r="F45" s="155"/>
      <c r="G45" s="163"/>
      <c r="H45" s="163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</row>
    <row r="46" spans="1:19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95" t="s">
        <v>117</v>
      </c>
      <c r="M46" s="155"/>
      <c r="N46" s="155"/>
      <c r="O46" s="155"/>
      <c r="P46" s="155"/>
      <c r="Q46" s="155"/>
      <c r="R46" s="155"/>
      <c r="S46" s="155"/>
    </row>
    <row r="47" spans="1:19">
      <c r="A47" s="155" t="s">
        <v>70</v>
      </c>
      <c r="B47" s="155"/>
      <c r="C47" s="155"/>
      <c r="D47" s="155"/>
      <c r="E47" s="155"/>
      <c r="F47" s="155"/>
      <c r="G47" s="155"/>
      <c r="H47" s="155"/>
      <c r="I47" s="163">
        <v>0</v>
      </c>
      <c r="J47" s="163"/>
      <c r="K47" s="155"/>
      <c r="L47" s="155"/>
      <c r="M47" s="155"/>
      <c r="N47" s="155"/>
      <c r="O47" s="155"/>
      <c r="P47" s="155"/>
      <c r="Q47" s="155"/>
      <c r="R47" s="155"/>
      <c r="S47" s="155"/>
    </row>
    <row r="48" spans="1:19">
      <c r="A48" s="155" t="s">
        <v>71</v>
      </c>
      <c r="B48" s="155"/>
      <c r="C48" s="170">
        <v>41729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71">
        <v>41743.60204849537</v>
      </c>
      <c r="R48" s="155"/>
      <c r="S48" s="155"/>
    </row>
    <row r="50" spans="1:21">
      <c r="A50" s="155"/>
      <c r="B50" s="155"/>
      <c r="C50" s="166" t="s">
        <v>72</v>
      </c>
      <c r="D50" s="155" t="s">
        <v>73</v>
      </c>
      <c r="E50" s="166" t="s">
        <v>74</v>
      </c>
      <c r="F50" s="166" t="s">
        <v>75</v>
      </c>
      <c r="G50" s="166" t="s">
        <v>76</v>
      </c>
      <c r="H50" s="166" t="s">
        <v>77</v>
      </c>
      <c r="I50" s="155" t="s">
        <v>78</v>
      </c>
      <c r="J50" s="184" t="s">
        <v>79</v>
      </c>
      <c r="K50" s="166" t="s">
        <v>80</v>
      </c>
      <c r="L50" s="155"/>
      <c r="M50" s="155"/>
      <c r="N50" s="155"/>
      <c r="O50" s="155"/>
      <c r="P50" s="155"/>
      <c r="Q50" s="155"/>
      <c r="R50" s="155"/>
      <c r="S50" s="155"/>
      <c r="T50" s="155"/>
      <c r="U50" s="155"/>
    </row>
    <row r="51" spans="1:21">
      <c r="A51" s="155" t="s">
        <v>81</v>
      </c>
      <c r="B51" s="155"/>
      <c r="C51" s="167">
        <v>41729</v>
      </c>
      <c r="D51" s="167">
        <v>41729</v>
      </c>
      <c r="E51" s="167">
        <v>41729</v>
      </c>
      <c r="F51" s="167">
        <v>41729</v>
      </c>
      <c r="G51" s="167">
        <v>41729</v>
      </c>
      <c r="H51" s="167">
        <v>41729</v>
      </c>
      <c r="I51" s="167">
        <v>41729</v>
      </c>
      <c r="J51" s="185" t="s">
        <v>82</v>
      </c>
      <c r="K51" s="168" t="s">
        <v>83</v>
      </c>
      <c r="L51" s="168" t="s">
        <v>84</v>
      </c>
      <c r="M51" s="168" t="s">
        <v>85</v>
      </c>
      <c r="N51" s="168" t="s">
        <v>72</v>
      </c>
      <c r="O51" s="169" t="s">
        <v>118</v>
      </c>
      <c r="P51" s="169" t="s">
        <v>119</v>
      </c>
      <c r="Q51" s="169" t="s">
        <v>87</v>
      </c>
      <c r="R51" s="169" t="s">
        <v>88</v>
      </c>
      <c r="S51" s="155"/>
      <c r="T51" s="155"/>
      <c r="U51" s="155"/>
    </row>
    <row r="52" spans="1:21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</row>
    <row r="53" spans="1:21">
      <c r="A53" s="155" t="s">
        <v>120</v>
      </c>
      <c r="B53" s="156"/>
      <c r="C53" s="175">
        <v>54420</v>
      </c>
      <c r="D53" s="155"/>
      <c r="E53" s="155"/>
      <c r="F53" s="155"/>
      <c r="G53" s="155"/>
      <c r="H53" s="155"/>
      <c r="I53" s="163">
        <v>54420</v>
      </c>
      <c r="J53" s="163">
        <v>13642</v>
      </c>
      <c r="K53" s="155"/>
      <c r="L53" s="163">
        <v>68062</v>
      </c>
      <c r="M53" s="163"/>
      <c r="N53" s="163"/>
      <c r="O53" s="156"/>
      <c r="P53" s="163">
        <v>0</v>
      </c>
      <c r="Q53" s="163"/>
      <c r="R53" s="163">
        <v>0</v>
      </c>
      <c r="S53" s="155"/>
      <c r="T53" s="155"/>
      <c r="U53" s="155"/>
    </row>
    <row r="54" spans="1:21">
      <c r="A54" s="155" t="s">
        <v>121</v>
      </c>
      <c r="B54" s="156"/>
      <c r="C54" s="173">
        <v>32032</v>
      </c>
      <c r="D54" s="155"/>
      <c r="E54" s="175">
        <v>6242</v>
      </c>
      <c r="F54" s="198">
        <v>47</v>
      </c>
      <c r="G54" s="155">
        <v>6</v>
      </c>
      <c r="H54" s="175"/>
      <c r="I54" s="163">
        <v>38327</v>
      </c>
      <c r="J54" s="201">
        <v>-13642</v>
      </c>
      <c r="K54" s="175">
        <v>6013</v>
      </c>
      <c r="L54" s="163">
        <v>18672</v>
      </c>
      <c r="M54" s="163"/>
      <c r="N54" s="163"/>
      <c r="O54" s="156"/>
      <c r="P54" s="163">
        <v>6242</v>
      </c>
      <c r="Q54" s="163"/>
      <c r="R54" s="163">
        <v>47</v>
      </c>
      <c r="S54" s="155"/>
      <c r="T54" s="155"/>
      <c r="U54" s="155"/>
    </row>
    <row r="55" spans="1:21">
      <c r="A55" s="155" t="s">
        <v>122</v>
      </c>
      <c r="B55" s="156"/>
      <c r="C55" s="191">
        <v>7041</v>
      </c>
      <c r="D55" s="155"/>
      <c r="E55" s="155">
        <v>37</v>
      </c>
      <c r="F55" s="198">
        <v>9</v>
      </c>
      <c r="G55" s="175">
        <v>45</v>
      </c>
      <c r="H55" s="175"/>
      <c r="I55" s="163">
        <v>7132</v>
      </c>
      <c r="J55" s="163"/>
      <c r="K55" s="155"/>
      <c r="L55" s="163">
        <v>7132</v>
      </c>
      <c r="M55" s="163"/>
      <c r="N55" s="163"/>
      <c r="O55" s="156"/>
      <c r="P55" s="163">
        <v>37</v>
      </c>
      <c r="Q55" s="163"/>
      <c r="R55" s="163">
        <v>9</v>
      </c>
      <c r="S55" s="155"/>
      <c r="T55" s="155"/>
      <c r="U55" s="191">
        <v>7262</v>
      </c>
    </row>
    <row r="56" spans="1:21">
      <c r="A56" s="162" t="s">
        <v>97</v>
      </c>
      <c r="B56" s="156"/>
      <c r="C56" s="175">
        <v>1943</v>
      </c>
      <c r="D56" s="155"/>
      <c r="E56" s="155"/>
      <c r="F56" s="175"/>
      <c r="G56" s="175"/>
      <c r="H56" s="175"/>
      <c r="I56" s="163">
        <v>1943</v>
      </c>
      <c r="J56" s="163"/>
      <c r="K56" s="155"/>
      <c r="L56" s="163">
        <v>1943</v>
      </c>
      <c r="M56" s="163"/>
      <c r="N56" s="163"/>
      <c r="O56" s="156"/>
      <c r="P56" s="163">
        <v>0</v>
      </c>
      <c r="Q56" s="163"/>
      <c r="R56" s="163">
        <v>0</v>
      </c>
      <c r="S56" s="155"/>
      <c r="T56" s="155"/>
      <c r="U56" s="155"/>
    </row>
    <row r="57" spans="1:21">
      <c r="A57" s="155" t="s">
        <v>123</v>
      </c>
      <c r="B57" s="156"/>
      <c r="C57" s="175">
        <v>9414</v>
      </c>
      <c r="D57" s="155"/>
      <c r="E57" s="155">
        <v>480</v>
      </c>
      <c r="F57" s="198">
        <v>8</v>
      </c>
      <c r="G57" s="175"/>
      <c r="H57" s="175"/>
      <c r="I57" s="163">
        <v>9902</v>
      </c>
      <c r="J57" s="163"/>
      <c r="K57" s="155"/>
      <c r="L57" s="163">
        <v>9902</v>
      </c>
      <c r="M57" s="163"/>
      <c r="N57" s="163"/>
      <c r="O57" s="156"/>
      <c r="P57" s="163">
        <v>480</v>
      </c>
      <c r="Q57" s="163"/>
      <c r="R57" s="163">
        <v>8</v>
      </c>
      <c r="S57" s="155"/>
      <c r="T57" s="155"/>
      <c r="U57" s="175">
        <v>9086</v>
      </c>
    </row>
    <row r="58" spans="1:21">
      <c r="A58" s="162" t="s">
        <v>124</v>
      </c>
      <c r="B58" s="156"/>
      <c r="C58" s="175">
        <v>240</v>
      </c>
      <c r="D58" s="155"/>
      <c r="E58" s="155">
        <v>240</v>
      </c>
      <c r="F58" s="175"/>
      <c r="G58" s="175"/>
      <c r="H58" s="175"/>
      <c r="I58" s="163">
        <v>480</v>
      </c>
      <c r="J58" s="163"/>
      <c r="K58" s="155"/>
      <c r="L58" s="163">
        <v>480</v>
      </c>
      <c r="M58" s="163"/>
      <c r="N58" s="163"/>
      <c r="O58" s="156"/>
      <c r="P58" s="163">
        <v>240</v>
      </c>
      <c r="Q58" s="163"/>
      <c r="R58" s="163"/>
      <c r="S58" s="155"/>
      <c r="T58" s="155"/>
      <c r="U58" s="155"/>
    </row>
    <row r="59" spans="1:21">
      <c r="A59" s="155" t="s">
        <v>125</v>
      </c>
      <c r="B59" s="156"/>
      <c r="C59" s="175">
        <v>8144</v>
      </c>
      <c r="D59" s="175">
        <v>21</v>
      </c>
      <c r="E59" s="175">
        <v>10393</v>
      </c>
      <c r="F59" s="175">
        <v>6</v>
      </c>
      <c r="G59" s="175">
        <v>175</v>
      </c>
      <c r="H59" s="175">
        <v>0</v>
      </c>
      <c r="I59" s="175">
        <v>18739</v>
      </c>
      <c r="J59" s="175"/>
      <c r="K59" s="175">
        <v>10979</v>
      </c>
      <c r="L59" s="175">
        <v>7760</v>
      </c>
      <c r="M59" s="163"/>
      <c r="N59" s="163"/>
      <c r="O59" s="156"/>
      <c r="P59" s="163">
        <v>10393</v>
      </c>
      <c r="Q59" s="163"/>
      <c r="R59" s="163">
        <v>6</v>
      </c>
      <c r="S59" s="155"/>
      <c r="T59" s="155"/>
      <c r="U59" s="155"/>
    </row>
    <row r="60" spans="1:21">
      <c r="A60" s="155" t="s">
        <v>126</v>
      </c>
      <c r="B60" s="156"/>
      <c r="C60" s="175">
        <v>8144</v>
      </c>
      <c r="D60" s="175">
        <v>21</v>
      </c>
      <c r="E60" s="175">
        <v>10393</v>
      </c>
      <c r="F60" s="175">
        <v>6</v>
      </c>
      <c r="G60" s="175">
        <v>175</v>
      </c>
      <c r="H60" s="175"/>
      <c r="I60" s="163">
        <v>18739</v>
      </c>
      <c r="J60" s="163"/>
      <c r="K60" s="163">
        <v>10979</v>
      </c>
      <c r="L60" s="163">
        <v>7760</v>
      </c>
      <c r="M60" s="163"/>
      <c r="N60" s="163"/>
      <c r="O60" s="156"/>
      <c r="P60" s="163">
        <v>10393</v>
      </c>
      <c r="Q60" s="163"/>
      <c r="R60" s="163">
        <v>6</v>
      </c>
      <c r="S60" s="163"/>
      <c r="T60" s="155"/>
      <c r="U60" s="155"/>
    </row>
    <row r="61" spans="1:21">
      <c r="A61" s="155" t="s">
        <v>127</v>
      </c>
      <c r="B61" s="156"/>
      <c r="C61" s="177">
        <v>15879</v>
      </c>
      <c r="D61" s="165"/>
      <c r="E61" s="177"/>
      <c r="F61" s="177">
        <v>5366</v>
      </c>
      <c r="G61" s="177"/>
      <c r="H61" s="177"/>
      <c r="I61" s="164">
        <v>21245</v>
      </c>
      <c r="J61" s="164"/>
      <c r="K61" s="164">
        <v>14470</v>
      </c>
      <c r="L61" s="164">
        <v>6775</v>
      </c>
      <c r="M61" s="164"/>
      <c r="N61" s="164"/>
      <c r="O61" s="164"/>
      <c r="P61" s="164">
        <v>0</v>
      </c>
      <c r="Q61" s="164"/>
      <c r="R61" s="164">
        <v>5366</v>
      </c>
      <c r="S61" s="155"/>
      <c r="T61" s="155"/>
      <c r="U61" s="155"/>
    </row>
    <row r="62" spans="1:21">
      <c r="A62" s="155"/>
      <c r="B62" s="156"/>
      <c r="C62" s="175"/>
      <c r="D62" s="155"/>
      <c r="E62" s="175"/>
      <c r="F62" s="175"/>
      <c r="G62" s="175"/>
      <c r="H62" s="175"/>
      <c r="I62" s="155"/>
      <c r="J62" s="155"/>
      <c r="K62" s="155"/>
      <c r="L62" s="155"/>
      <c r="M62" s="155"/>
      <c r="N62" s="155"/>
      <c r="O62" s="156"/>
      <c r="P62" s="155"/>
      <c r="Q62" s="155"/>
      <c r="R62" s="155"/>
      <c r="S62" s="155"/>
      <c r="T62" s="155"/>
      <c r="U62" s="155"/>
    </row>
    <row r="63" spans="1:21">
      <c r="A63" s="155" t="s">
        <v>128</v>
      </c>
      <c r="B63" s="156"/>
      <c r="C63" s="175">
        <v>129113</v>
      </c>
      <c r="D63" s="175">
        <v>21</v>
      </c>
      <c r="E63" s="175">
        <v>17392</v>
      </c>
      <c r="F63" s="175">
        <v>5436</v>
      </c>
      <c r="G63" s="175">
        <v>226</v>
      </c>
      <c r="H63" s="175">
        <v>0</v>
      </c>
      <c r="I63" s="175">
        <v>152188</v>
      </c>
      <c r="J63" s="175"/>
      <c r="K63" s="175">
        <v>31462</v>
      </c>
      <c r="L63" s="175">
        <v>120726</v>
      </c>
      <c r="M63" s="156">
        <v>0</v>
      </c>
      <c r="N63" s="156">
        <v>0</v>
      </c>
      <c r="O63" s="156">
        <v>0</v>
      </c>
      <c r="P63" s="156">
        <v>17392</v>
      </c>
      <c r="Q63" s="156">
        <v>0</v>
      </c>
      <c r="R63" s="156">
        <v>5436</v>
      </c>
      <c r="S63" s="155"/>
      <c r="T63" s="155"/>
      <c r="U63" s="155"/>
    </row>
    <row r="64" spans="1:21">
      <c r="A64" s="155"/>
      <c r="B64" s="156"/>
      <c r="C64" s="175"/>
      <c r="D64" s="175"/>
      <c r="E64" s="175"/>
      <c r="F64" s="175"/>
      <c r="G64" s="175"/>
      <c r="H64" s="175"/>
      <c r="I64" s="163"/>
      <c r="J64" s="163"/>
      <c r="K64" s="163"/>
      <c r="L64" s="175"/>
      <c r="M64" s="156"/>
      <c r="N64" s="156"/>
      <c r="O64" s="156"/>
      <c r="P64" s="156"/>
      <c r="Q64" s="156"/>
      <c r="R64" s="156"/>
      <c r="S64" s="155"/>
      <c r="T64" s="155"/>
      <c r="U64" s="155"/>
    </row>
    <row r="65" spans="1:25">
      <c r="A65" s="162" t="s">
        <v>129</v>
      </c>
      <c r="B65" s="156"/>
      <c r="C65" s="175">
        <v>155131</v>
      </c>
      <c r="D65" s="175"/>
      <c r="E65" s="175"/>
      <c r="F65" s="175"/>
      <c r="G65" s="175"/>
      <c r="H65" s="175"/>
      <c r="I65" s="163">
        <v>155131</v>
      </c>
      <c r="J65" s="163"/>
      <c r="K65" s="163"/>
      <c r="L65" s="163">
        <v>155131</v>
      </c>
      <c r="M65" s="156"/>
      <c r="N65" s="156"/>
      <c r="O65" s="156"/>
      <c r="P65" s="163">
        <v>0</v>
      </c>
      <c r="Q65" s="156"/>
      <c r="R65" s="156"/>
      <c r="S65" s="155"/>
      <c r="T65" s="155"/>
      <c r="U65" s="155"/>
      <c r="V65" s="155"/>
      <c r="W65" s="155"/>
      <c r="X65" s="155"/>
      <c r="Y65" s="155"/>
    </row>
    <row r="66" spans="1:25">
      <c r="A66" s="162" t="s">
        <v>130</v>
      </c>
      <c r="B66" s="156"/>
      <c r="C66" s="175"/>
      <c r="D66" s="175"/>
      <c r="E66" s="175"/>
      <c r="F66" s="175"/>
      <c r="G66" s="175"/>
      <c r="H66" s="175"/>
      <c r="I66" s="163">
        <v>0</v>
      </c>
      <c r="J66" s="163"/>
      <c r="K66" s="163"/>
      <c r="L66" s="163">
        <v>0</v>
      </c>
      <c r="M66" s="156"/>
      <c r="N66" s="156"/>
      <c r="O66" s="156"/>
      <c r="P66" s="163">
        <v>0</v>
      </c>
      <c r="Q66" s="156"/>
      <c r="R66" s="156"/>
      <c r="S66" s="155"/>
      <c r="T66" s="155"/>
      <c r="U66" s="155"/>
      <c r="V66" s="155"/>
      <c r="W66" s="155"/>
      <c r="X66" s="155"/>
      <c r="Y66" s="155"/>
    </row>
    <row r="67" spans="1:25">
      <c r="A67" s="162" t="s">
        <v>124</v>
      </c>
      <c r="B67" s="156"/>
      <c r="C67" s="175">
        <v>0</v>
      </c>
      <c r="D67" s="175"/>
      <c r="E67" s="175">
        <v>320</v>
      </c>
      <c r="F67" s="175"/>
      <c r="G67" s="175"/>
      <c r="H67" s="175"/>
      <c r="I67" s="163">
        <v>320</v>
      </c>
      <c r="J67" s="163"/>
      <c r="K67" s="163"/>
      <c r="L67" s="163">
        <v>320</v>
      </c>
      <c r="M67" s="156"/>
      <c r="N67" s="163"/>
      <c r="O67" s="156"/>
      <c r="P67" s="163">
        <v>320</v>
      </c>
      <c r="Q67" s="156"/>
      <c r="R67" s="156"/>
      <c r="S67" s="155"/>
      <c r="T67" s="155"/>
      <c r="U67" s="155"/>
      <c r="V67" s="155"/>
      <c r="W67" s="155"/>
      <c r="X67" s="155"/>
      <c r="Y67" s="155"/>
    </row>
    <row r="68" spans="1:25">
      <c r="A68" s="162" t="s">
        <v>131</v>
      </c>
      <c r="B68" s="156"/>
      <c r="C68" s="175"/>
      <c r="D68" s="155"/>
      <c r="E68" s="175"/>
      <c r="F68" s="175"/>
      <c r="G68" s="175"/>
      <c r="H68" s="175"/>
      <c r="I68" s="163">
        <v>0</v>
      </c>
      <c r="J68" s="163"/>
      <c r="K68" s="155"/>
      <c r="L68" s="163">
        <v>0</v>
      </c>
      <c r="M68" s="155"/>
      <c r="N68" s="155"/>
      <c r="O68" s="156"/>
      <c r="P68" s="163">
        <v>0</v>
      </c>
      <c r="Q68" s="155"/>
      <c r="R68" s="155"/>
      <c r="S68" s="155"/>
      <c r="T68" s="155"/>
      <c r="U68" s="155"/>
      <c r="V68" s="155"/>
      <c r="W68" s="155"/>
      <c r="X68" s="155"/>
      <c r="Y68" s="155"/>
    </row>
    <row r="69" spans="1:25">
      <c r="A69" s="155" t="s">
        <v>132</v>
      </c>
      <c r="B69" s="156"/>
      <c r="C69" s="175">
        <v>28685</v>
      </c>
      <c r="D69" s="155"/>
      <c r="E69" s="175"/>
      <c r="F69" s="175"/>
      <c r="G69" s="175"/>
      <c r="H69" s="175"/>
      <c r="I69" s="163">
        <v>28685</v>
      </c>
      <c r="J69" s="163"/>
      <c r="K69" s="155"/>
      <c r="L69" s="163">
        <v>28685</v>
      </c>
      <c r="M69" s="155"/>
      <c r="N69" s="155"/>
      <c r="O69" s="156"/>
      <c r="P69" s="163"/>
      <c r="Q69" s="155"/>
      <c r="R69" s="155"/>
      <c r="S69" s="155"/>
      <c r="T69" s="155"/>
      <c r="U69" s="155"/>
      <c r="V69" s="155"/>
      <c r="W69" s="155"/>
      <c r="X69" s="155"/>
      <c r="Y69" s="155"/>
    </row>
    <row r="70" spans="1:25">
      <c r="A70" s="162" t="s">
        <v>133</v>
      </c>
      <c r="B70" s="156"/>
      <c r="C70" s="175">
        <v>24707</v>
      </c>
      <c r="D70" s="155"/>
      <c r="E70" s="175"/>
      <c r="F70" s="175"/>
      <c r="G70" s="175"/>
      <c r="H70" s="175"/>
      <c r="I70" s="163">
        <v>24707</v>
      </c>
      <c r="J70" s="163"/>
      <c r="K70" s="155"/>
      <c r="L70" s="163">
        <v>24707</v>
      </c>
      <c r="M70" s="163"/>
      <c r="N70" s="163"/>
      <c r="O70" s="163"/>
      <c r="P70" s="163">
        <v>0</v>
      </c>
      <c r="Q70" s="163"/>
      <c r="R70" s="163">
        <v>0</v>
      </c>
      <c r="S70" s="155"/>
      <c r="T70" s="155"/>
      <c r="U70" s="155"/>
      <c r="V70" s="155"/>
      <c r="W70" s="155"/>
      <c r="X70" s="155"/>
      <c r="Y70" s="155"/>
    </row>
    <row r="71" spans="1:25">
      <c r="A71" s="162" t="s">
        <v>134</v>
      </c>
      <c r="B71" s="156"/>
      <c r="C71" s="174"/>
      <c r="D71" s="165"/>
      <c r="E71" s="177">
        <v>2132</v>
      </c>
      <c r="F71" s="165"/>
      <c r="G71" s="165"/>
      <c r="H71" s="165"/>
      <c r="I71" s="164">
        <v>2132</v>
      </c>
      <c r="J71" s="164"/>
      <c r="K71" s="164">
        <v>0</v>
      </c>
      <c r="L71" s="164">
        <v>2132</v>
      </c>
      <c r="M71" s="165"/>
      <c r="N71" s="165"/>
      <c r="O71" s="164"/>
      <c r="P71" s="164">
        <v>2132</v>
      </c>
      <c r="Q71" s="164"/>
      <c r="R71" s="164">
        <v>0</v>
      </c>
      <c r="S71" s="155"/>
      <c r="T71" s="155"/>
      <c r="U71" s="155"/>
      <c r="V71" s="155"/>
      <c r="W71" s="155"/>
      <c r="X71" s="155"/>
      <c r="Y71" s="155"/>
    </row>
    <row r="72" spans="1:25">
      <c r="A72" s="155" t="s">
        <v>135</v>
      </c>
      <c r="B72" s="156"/>
      <c r="C72" s="175">
        <v>208523</v>
      </c>
      <c r="D72" s="175">
        <v>0</v>
      </c>
      <c r="E72" s="175">
        <v>2452</v>
      </c>
      <c r="F72" s="175">
        <v>0</v>
      </c>
      <c r="G72" s="175"/>
      <c r="H72" s="175">
        <v>0</v>
      </c>
      <c r="I72" s="175">
        <v>210975</v>
      </c>
      <c r="J72" s="175"/>
      <c r="K72" s="175">
        <v>0</v>
      </c>
      <c r="L72" s="175">
        <v>210975</v>
      </c>
      <c r="M72" s="156">
        <v>0</v>
      </c>
      <c r="N72" s="156">
        <v>0</v>
      </c>
      <c r="O72" s="156">
        <v>0</v>
      </c>
      <c r="P72" s="156">
        <v>2452</v>
      </c>
      <c r="Q72" s="156">
        <v>0</v>
      </c>
      <c r="R72" s="156">
        <v>0</v>
      </c>
      <c r="S72" s="155"/>
      <c r="T72" s="155"/>
      <c r="U72" s="155"/>
      <c r="V72" s="155"/>
      <c r="W72" s="155"/>
      <c r="X72" s="155"/>
      <c r="Y72" s="155"/>
    </row>
    <row r="73" spans="1:25">
      <c r="A73" s="155"/>
      <c r="B73" s="156"/>
      <c r="C73" s="175"/>
      <c r="D73" s="155"/>
      <c r="E73" s="17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</row>
    <row r="74" spans="1:25">
      <c r="A74" s="155" t="s">
        <v>136</v>
      </c>
      <c r="B74" s="156"/>
      <c r="C74" s="175">
        <v>0</v>
      </c>
      <c r="D74" s="155"/>
      <c r="E74" s="17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</row>
    <row r="75" spans="1:25">
      <c r="A75" s="155"/>
      <c r="B75" s="156"/>
      <c r="C75" s="175"/>
      <c r="D75" s="155"/>
      <c r="E75" s="17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</row>
    <row r="76" spans="1:25">
      <c r="A76" s="155" t="s">
        <v>137</v>
      </c>
      <c r="B76" s="156"/>
      <c r="C76" s="175">
        <v>0</v>
      </c>
      <c r="D76" s="155"/>
      <c r="E76" s="175"/>
      <c r="F76" s="155"/>
      <c r="G76" s="155"/>
      <c r="H76" s="155"/>
      <c r="I76" s="155"/>
      <c r="J76" s="155"/>
      <c r="K76" s="175">
        <v>3565</v>
      </c>
      <c r="L76" s="175">
        <v>3565</v>
      </c>
      <c r="M76" s="156"/>
      <c r="N76" s="156"/>
      <c r="O76" s="156"/>
      <c r="P76" s="156"/>
      <c r="Q76" s="156"/>
      <c r="R76" s="156">
        <v>0</v>
      </c>
      <c r="S76" s="155"/>
      <c r="T76" s="155"/>
      <c r="U76" s="155"/>
      <c r="V76" s="155"/>
      <c r="W76" s="155"/>
      <c r="X76" s="155"/>
      <c r="Y76" s="155"/>
    </row>
    <row r="77" spans="1:25">
      <c r="A77" s="155"/>
      <c r="B77" s="156"/>
      <c r="C77" s="175"/>
      <c r="D77" s="155"/>
      <c r="E77" s="175"/>
      <c r="F77" s="155"/>
      <c r="G77" s="155"/>
      <c r="H77" s="155"/>
      <c r="I77" s="155"/>
      <c r="J77" s="155"/>
      <c r="K77" s="17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</row>
    <row r="78" spans="1:25">
      <c r="A78" s="155"/>
      <c r="B78" s="155"/>
      <c r="C78" s="155"/>
      <c r="D78" s="155"/>
      <c r="E78" s="17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</row>
    <row r="79" spans="1:25">
      <c r="A79" s="155"/>
      <c r="B79" s="156"/>
      <c r="C79" s="175"/>
      <c r="D79" s="155"/>
      <c r="E79" s="17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</row>
    <row r="80" spans="1:25">
      <c r="A80" s="155"/>
      <c r="B80" s="155"/>
      <c r="C80" s="155"/>
      <c r="D80" s="155"/>
      <c r="E80" s="17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62" t="s">
        <v>138</v>
      </c>
      <c r="W80" s="155"/>
      <c r="X80" s="155"/>
      <c r="Y80" s="155" t="s">
        <v>139</v>
      </c>
    </row>
    <row r="81" spans="1:29" ht="14.4">
      <c r="A81" s="155" t="s">
        <v>140</v>
      </c>
      <c r="B81" s="156"/>
      <c r="C81" s="175">
        <v>146755</v>
      </c>
      <c r="D81" s="156">
        <v>53</v>
      </c>
      <c r="E81" s="175">
        <v>33000</v>
      </c>
      <c r="F81" s="156">
        <v>128515</v>
      </c>
      <c r="G81" s="156">
        <v>900</v>
      </c>
      <c r="H81" s="156">
        <v>0</v>
      </c>
      <c r="I81" s="156">
        <v>309223</v>
      </c>
      <c r="J81" s="156"/>
      <c r="K81" s="156">
        <v>180708</v>
      </c>
      <c r="L81" s="175">
        <v>128515</v>
      </c>
      <c r="M81" s="156"/>
      <c r="N81" s="156"/>
      <c r="O81" s="156"/>
      <c r="P81" s="163">
        <v>33000</v>
      </c>
      <c r="Q81" s="156">
        <v>0</v>
      </c>
      <c r="R81" s="156">
        <v>128515</v>
      </c>
      <c r="S81" s="155"/>
      <c r="T81" s="155"/>
      <c r="U81" s="155"/>
      <c r="V81" s="179" t="s">
        <v>45</v>
      </c>
      <c r="W81" s="180"/>
      <c r="X81" s="181">
        <v>128515</v>
      </c>
      <c r="Y81" s="181">
        <v>124547</v>
      </c>
    </row>
    <row r="82" spans="1:29" ht="14.4">
      <c r="A82" s="155" t="s">
        <v>141</v>
      </c>
      <c r="B82" s="156"/>
      <c r="C82" s="175">
        <v>146755</v>
      </c>
      <c r="D82" s="156">
        <v>53</v>
      </c>
      <c r="E82" s="175">
        <v>33000</v>
      </c>
      <c r="F82" s="175">
        <v>128515</v>
      </c>
      <c r="G82" s="175">
        <v>900</v>
      </c>
      <c r="H82" s="175"/>
      <c r="I82" s="163">
        <v>309223</v>
      </c>
      <c r="J82" s="163"/>
      <c r="K82" s="163">
        <v>180708</v>
      </c>
      <c r="L82" s="163">
        <v>128515</v>
      </c>
      <c r="M82" s="163"/>
      <c r="N82" s="163"/>
      <c r="O82" s="155"/>
      <c r="P82" s="163">
        <v>33000</v>
      </c>
      <c r="Q82" s="163"/>
      <c r="R82" s="156">
        <v>128515</v>
      </c>
      <c r="S82" s="155"/>
      <c r="T82" s="155"/>
      <c r="U82" s="155"/>
      <c r="V82" s="179" t="s">
        <v>46</v>
      </c>
      <c r="W82" s="180"/>
      <c r="X82" s="181">
        <v>-10870</v>
      </c>
      <c r="Y82" s="181">
        <v>-10870</v>
      </c>
    </row>
    <row r="83" spans="1:29" ht="14.4">
      <c r="A83" s="155" t="s">
        <v>142</v>
      </c>
      <c r="B83" s="156"/>
      <c r="C83" s="175"/>
      <c r="D83" s="155"/>
      <c r="E83" s="175"/>
      <c r="F83" s="155"/>
      <c r="G83" s="155"/>
      <c r="H83" s="155"/>
      <c r="I83" s="163">
        <v>0</v>
      </c>
      <c r="J83" s="163"/>
      <c r="K83" s="163">
        <v>0</v>
      </c>
      <c r="L83" s="163">
        <v>0</v>
      </c>
      <c r="M83" s="163"/>
      <c r="N83" s="163"/>
      <c r="O83" s="163"/>
      <c r="P83" s="163">
        <v>0</v>
      </c>
      <c r="Q83" s="163"/>
      <c r="R83" s="156">
        <v>0</v>
      </c>
      <c r="S83" s="155"/>
      <c r="T83" s="155"/>
      <c r="U83" s="155"/>
      <c r="V83" s="179" t="s">
        <v>47</v>
      </c>
      <c r="W83" s="180"/>
      <c r="X83" s="181">
        <v>178844</v>
      </c>
      <c r="Y83" s="181">
        <v>181431</v>
      </c>
    </row>
    <row r="84" spans="1:29" ht="14.4">
      <c r="A84" s="155" t="s">
        <v>143</v>
      </c>
      <c r="B84" s="156"/>
      <c r="C84" s="173">
        <v>87718</v>
      </c>
      <c r="D84" s="155"/>
      <c r="E84" s="175"/>
      <c r="F84" s="175">
        <v>167974</v>
      </c>
      <c r="G84" s="175"/>
      <c r="H84" s="175"/>
      <c r="I84" s="163">
        <v>255692</v>
      </c>
      <c r="J84" s="163"/>
      <c r="K84" s="163">
        <v>87718</v>
      </c>
      <c r="L84" s="163">
        <v>167974</v>
      </c>
      <c r="M84" s="163"/>
      <c r="N84" s="163"/>
      <c r="O84" s="163"/>
      <c r="P84" s="163">
        <v>0</v>
      </c>
      <c r="Q84" s="163"/>
      <c r="R84" s="156">
        <v>167974</v>
      </c>
      <c r="S84" s="155"/>
      <c r="T84" s="155"/>
      <c r="U84" s="155"/>
      <c r="V84" s="179" t="s">
        <v>48</v>
      </c>
      <c r="W84" s="180"/>
      <c r="X84" s="181">
        <v>137149</v>
      </c>
      <c r="Y84" s="181">
        <v>129049</v>
      </c>
    </row>
    <row r="85" spans="1:29" ht="14.4">
      <c r="A85" s="155" t="s">
        <v>144</v>
      </c>
      <c r="B85" s="156"/>
      <c r="C85" s="175">
        <v>107244</v>
      </c>
      <c r="D85" s="156">
        <v>-68</v>
      </c>
      <c r="E85" s="175">
        <v>-12703</v>
      </c>
      <c r="F85" s="173">
        <v>164128</v>
      </c>
      <c r="G85" s="173">
        <v>-350</v>
      </c>
      <c r="H85" s="173"/>
      <c r="I85" s="163">
        <v>258251</v>
      </c>
      <c r="J85" s="163"/>
      <c r="K85" s="163">
        <v>94123</v>
      </c>
      <c r="L85" s="163">
        <v>164128</v>
      </c>
      <c r="M85" s="163"/>
      <c r="N85" s="163"/>
      <c r="O85" s="163"/>
      <c r="P85" s="163">
        <v>-12703</v>
      </c>
      <c r="Q85" s="163">
        <v>0</v>
      </c>
      <c r="R85" s="156">
        <v>164128</v>
      </c>
      <c r="S85" s="155"/>
      <c r="T85" s="155"/>
      <c r="U85" s="155"/>
      <c r="V85" s="179" t="s">
        <v>49</v>
      </c>
      <c r="W85" s="180"/>
      <c r="X85" s="181">
        <v>-15512</v>
      </c>
      <c r="Y85" s="181">
        <v>-16373</v>
      </c>
    </row>
    <row r="86" spans="1:29">
      <c r="A86" s="155" t="s">
        <v>145</v>
      </c>
      <c r="B86" s="156"/>
      <c r="C86" s="175"/>
      <c r="D86" s="175"/>
      <c r="E86" s="175"/>
      <c r="F86" s="173">
        <v>-15512</v>
      </c>
      <c r="G86" s="173">
        <v>62</v>
      </c>
      <c r="H86" s="173"/>
      <c r="I86" s="163">
        <v>-15450</v>
      </c>
      <c r="J86" s="163"/>
      <c r="K86" s="163">
        <v>62</v>
      </c>
      <c r="L86" s="163">
        <v>-15512</v>
      </c>
      <c r="M86" s="163"/>
      <c r="N86" s="163"/>
      <c r="O86" s="163"/>
      <c r="P86" s="163">
        <v>0</v>
      </c>
      <c r="Q86" s="163">
        <v>0</v>
      </c>
      <c r="R86" s="156">
        <v>-15512</v>
      </c>
      <c r="S86" s="155"/>
      <c r="T86" s="155"/>
      <c r="U86" s="155"/>
      <c r="V86" s="155"/>
      <c r="W86" s="155"/>
      <c r="X86" s="155"/>
      <c r="Y86" s="155"/>
    </row>
    <row r="87" spans="1:29">
      <c r="A87" s="155" t="s">
        <v>146</v>
      </c>
      <c r="B87" s="156"/>
      <c r="C87" s="177">
        <v>-3145</v>
      </c>
      <c r="D87" s="165"/>
      <c r="E87" s="177">
        <v>-1895</v>
      </c>
      <c r="F87" s="174">
        <v>-5402</v>
      </c>
      <c r="G87" s="174">
        <v>-592</v>
      </c>
      <c r="H87" s="174"/>
      <c r="I87" s="164">
        <v>-11034</v>
      </c>
      <c r="J87" s="164"/>
      <c r="K87" s="164">
        <v>-5632</v>
      </c>
      <c r="L87" s="164">
        <v>-5402</v>
      </c>
      <c r="M87" s="164"/>
      <c r="N87" s="164"/>
      <c r="O87" s="164">
        <v>0</v>
      </c>
      <c r="P87" s="164">
        <v>-1895</v>
      </c>
      <c r="Q87" s="164">
        <v>0</v>
      </c>
      <c r="R87" s="157">
        <v>-5402</v>
      </c>
      <c r="S87" s="155"/>
      <c r="T87" s="155"/>
      <c r="U87" s="155">
        <v>-3038</v>
      </c>
      <c r="V87" s="155"/>
      <c r="W87" s="155"/>
      <c r="X87" s="155"/>
      <c r="Y87" s="155"/>
    </row>
    <row r="88" spans="1:29">
      <c r="A88" s="155"/>
      <c r="B88" s="156"/>
      <c r="C88" s="156"/>
      <c r="D88" s="155"/>
      <c r="E88" s="156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</row>
    <row r="89" spans="1:29">
      <c r="A89" s="155" t="s">
        <v>147</v>
      </c>
      <c r="B89" s="156"/>
      <c r="C89" s="156">
        <v>338572</v>
      </c>
      <c r="D89" s="156">
        <v>-15</v>
      </c>
      <c r="E89" s="156">
        <v>18402</v>
      </c>
      <c r="F89" s="156">
        <v>439703</v>
      </c>
      <c r="G89" s="156">
        <v>20</v>
      </c>
      <c r="H89" s="156">
        <v>0</v>
      </c>
      <c r="I89" s="156">
        <v>796682</v>
      </c>
      <c r="J89" s="156">
        <v>0</v>
      </c>
      <c r="K89" s="156">
        <v>356979</v>
      </c>
      <c r="L89" s="156">
        <v>439703</v>
      </c>
      <c r="M89" s="156"/>
      <c r="N89" s="156"/>
      <c r="O89" s="156">
        <v>0</v>
      </c>
      <c r="P89" s="156">
        <v>18402</v>
      </c>
      <c r="Q89" s="156"/>
      <c r="R89" s="156">
        <v>439703</v>
      </c>
      <c r="S89" s="155"/>
      <c r="T89" s="155"/>
      <c r="U89" s="155"/>
      <c r="V89" s="155"/>
      <c r="W89" s="155"/>
      <c r="X89" s="155"/>
      <c r="Y89" s="155"/>
    </row>
    <row r="90" spans="1:29">
      <c r="A90" s="155"/>
      <c r="B90" s="156"/>
      <c r="C90" s="156"/>
      <c r="D90" s="155"/>
      <c r="E90" s="156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</row>
    <row r="91" spans="1:29" ht="13.8" thickBot="1">
      <c r="A91" s="155" t="s">
        <v>148</v>
      </c>
      <c r="B91" s="156"/>
      <c r="C91" s="158">
        <v>676208</v>
      </c>
      <c r="D91" s="158">
        <v>6</v>
      </c>
      <c r="E91" s="158">
        <v>38246</v>
      </c>
      <c r="F91" s="158">
        <v>445139</v>
      </c>
      <c r="G91" s="158">
        <v>246</v>
      </c>
      <c r="H91" s="158">
        <v>0</v>
      </c>
      <c r="I91" s="158">
        <v>1159845</v>
      </c>
      <c r="J91" s="158">
        <v>0</v>
      </c>
      <c r="K91" s="158">
        <v>384876</v>
      </c>
      <c r="L91" s="158">
        <v>774969</v>
      </c>
      <c r="M91" s="158">
        <v>0</v>
      </c>
      <c r="N91" s="158">
        <v>0</v>
      </c>
      <c r="O91" s="158">
        <v>0</v>
      </c>
      <c r="P91" s="158">
        <v>38246</v>
      </c>
      <c r="Q91" s="158">
        <v>0</v>
      </c>
      <c r="R91" s="158">
        <v>445139</v>
      </c>
      <c r="S91" s="155"/>
      <c r="T91" s="155"/>
      <c r="U91" s="155"/>
      <c r="V91" s="155"/>
      <c r="W91" s="155"/>
      <c r="X91" s="155"/>
      <c r="Y91" s="155"/>
    </row>
    <row r="92" spans="1:29" ht="13.8" thickTop="1">
      <c r="A92" s="155"/>
      <c r="B92" s="156"/>
      <c r="C92" s="156"/>
      <c r="D92" s="155"/>
      <c r="E92" s="156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</row>
    <row r="93" spans="1:29">
      <c r="A93" s="155"/>
      <c r="B93" s="156"/>
      <c r="C93" s="156">
        <v>0</v>
      </c>
      <c r="D93" s="156">
        <v>0</v>
      </c>
      <c r="E93" s="156">
        <v>0</v>
      </c>
      <c r="F93" s="156">
        <v>0</v>
      </c>
      <c r="G93" s="156">
        <v>0</v>
      </c>
      <c r="H93" s="156">
        <v>0</v>
      </c>
      <c r="I93" s="156">
        <v>0</v>
      </c>
      <c r="J93" s="156">
        <v>0</v>
      </c>
      <c r="K93" s="156">
        <v>0</v>
      </c>
      <c r="L93" s="156">
        <v>0</v>
      </c>
      <c r="M93" s="156"/>
      <c r="N93" s="156"/>
      <c r="O93" s="156">
        <v>0</v>
      </c>
      <c r="P93" s="156">
        <v>0</v>
      </c>
      <c r="Q93" s="156"/>
      <c r="R93" s="156">
        <v>-74959</v>
      </c>
      <c r="S93" s="155"/>
      <c r="T93" s="155"/>
      <c r="U93" s="155"/>
      <c r="V93" s="155"/>
      <c r="W93" s="155"/>
      <c r="X93" s="155"/>
      <c r="Y93" s="155"/>
    </row>
    <row r="94" spans="1:29">
      <c r="A94" s="155"/>
      <c r="B94" s="156"/>
      <c r="C94" s="156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63"/>
      <c r="P94" s="155"/>
      <c r="Q94" s="155"/>
      <c r="R94" s="155"/>
      <c r="S94" s="155"/>
      <c r="T94" s="155"/>
      <c r="U94" s="155"/>
      <c r="V94" s="155"/>
      <c r="W94" s="155"/>
      <c r="X94" s="155"/>
      <c r="Y94" s="155"/>
    </row>
    <row r="95" spans="1:29">
      <c r="A95" s="155" t="s">
        <v>117</v>
      </c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</row>
    <row r="96" spans="1:29">
      <c r="A96" s="155" t="s">
        <v>71</v>
      </c>
      <c r="B96" s="155"/>
      <c r="C96" s="170">
        <v>41729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71">
        <v>41743.60204849537</v>
      </c>
      <c r="Q96" s="155"/>
      <c r="R96" s="155"/>
      <c r="S96" s="155"/>
      <c r="T96" s="155"/>
      <c r="U96" s="155"/>
      <c r="V96" s="155"/>
      <c r="W96" s="155"/>
      <c r="X96" s="155"/>
      <c r="Y96" s="155"/>
      <c r="AA96" s="104" t="s">
        <v>71</v>
      </c>
      <c r="AC96" s="105">
        <v>41729</v>
      </c>
    </row>
    <row r="97" spans="1:37">
      <c r="A97" s="162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AA97" s="112"/>
    </row>
    <row r="98" spans="1:37">
      <c r="A98" s="155"/>
      <c r="B98" s="155"/>
      <c r="C98" s="166" t="s">
        <v>72</v>
      </c>
      <c r="D98" s="155" t="s">
        <v>73</v>
      </c>
      <c r="E98" s="176" t="s">
        <v>74</v>
      </c>
      <c r="F98" s="166" t="s">
        <v>75</v>
      </c>
      <c r="G98" s="166" t="s">
        <v>76</v>
      </c>
      <c r="H98" s="166" t="s">
        <v>77</v>
      </c>
      <c r="I98" s="155" t="s">
        <v>78</v>
      </c>
      <c r="J98" s="166" t="s">
        <v>80</v>
      </c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AC98" s="106" t="s">
        <v>72</v>
      </c>
      <c r="AD98" s="104" t="s">
        <v>73</v>
      </c>
      <c r="AE98" s="117" t="s">
        <v>74</v>
      </c>
      <c r="AF98" s="106" t="s">
        <v>75</v>
      </c>
      <c r="AG98" s="106" t="s">
        <v>76</v>
      </c>
      <c r="AH98" s="106" t="s">
        <v>77</v>
      </c>
      <c r="AI98" s="104" t="s">
        <v>78</v>
      </c>
      <c r="AJ98" s="106" t="s">
        <v>80</v>
      </c>
    </row>
    <row r="99" spans="1:37">
      <c r="A99" s="155" t="s">
        <v>81</v>
      </c>
      <c r="B99" s="155"/>
      <c r="C99" s="167">
        <v>41729</v>
      </c>
      <c r="D99" s="167">
        <v>41729</v>
      </c>
      <c r="E99" s="167">
        <v>41729</v>
      </c>
      <c r="F99" s="167">
        <v>41729</v>
      </c>
      <c r="G99" s="167">
        <v>41729</v>
      </c>
      <c r="H99" s="167">
        <v>41729</v>
      </c>
      <c r="I99" s="167">
        <v>41729</v>
      </c>
      <c r="J99" s="168" t="s">
        <v>83</v>
      </c>
      <c r="K99" s="168" t="s">
        <v>84</v>
      </c>
      <c r="L99" s="155"/>
      <c r="M99" s="169" t="s">
        <v>72</v>
      </c>
      <c r="N99" s="169" t="s">
        <v>118</v>
      </c>
      <c r="O99" s="169" t="s">
        <v>119</v>
      </c>
      <c r="P99" s="169" t="s">
        <v>87</v>
      </c>
      <c r="Q99" s="169" t="s">
        <v>88</v>
      </c>
      <c r="R99" s="155"/>
      <c r="S99" s="155"/>
      <c r="T99" s="155"/>
      <c r="U99" s="155"/>
      <c r="V99" s="155"/>
      <c r="W99" s="155"/>
      <c r="X99" s="155"/>
      <c r="AA99" s="104" t="s">
        <v>81</v>
      </c>
      <c r="AC99" s="107">
        <v>41729</v>
      </c>
      <c r="AD99" s="107">
        <v>41729</v>
      </c>
      <c r="AE99" s="107">
        <v>41729</v>
      </c>
      <c r="AF99" s="107">
        <v>41729</v>
      </c>
      <c r="AG99" s="107">
        <v>41729</v>
      </c>
      <c r="AH99" s="107">
        <v>41729</v>
      </c>
      <c r="AI99" s="107">
        <v>41729</v>
      </c>
      <c r="AJ99" s="108" t="s">
        <v>83</v>
      </c>
      <c r="AK99" s="108" t="s">
        <v>84</v>
      </c>
    </row>
    <row r="100" spans="1:37">
      <c r="A100" s="15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</row>
    <row r="101" spans="1:37" ht="14.4">
      <c r="A101" s="155" t="s">
        <v>149</v>
      </c>
      <c r="B101" s="156"/>
      <c r="C101" s="156">
        <v>82220</v>
      </c>
      <c r="D101" s="155"/>
      <c r="E101" s="175">
        <v>1222</v>
      </c>
      <c r="F101" s="155"/>
      <c r="G101" s="156"/>
      <c r="H101" s="156"/>
      <c r="I101" s="163">
        <v>83442</v>
      </c>
      <c r="J101" s="175">
        <v>884</v>
      </c>
      <c r="K101" s="163">
        <v>82558</v>
      </c>
      <c r="L101" s="155"/>
      <c r="M101" s="163"/>
      <c r="N101" s="163"/>
      <c r="O101" s="163">
        <v>1222</v>
      </c>
      <c r="P101" s="163"/>
      <c r="Q101" s="163">
        <v>0</v>
      </c>
      <c r="R101" s="155"/>
      <c r="S101" s="155"/>
      <c r="T101" s="155"/>
      <c r="U101" s="155"/>
      <c r="V101" s="155"/>
      <c r="W101" s="155"/>
      <c r="X101" s="155"/>
      <c r="AA101" s="104" t="s">
        <v>149</v>
      </c>
      <c r="AB101" s="109"/>
      <c r="AC101" s="109">
        <f>C101-C154</f>
        <v>82220</v>
      </c>
      <c r="AD101" s="109">
        <f t="shared" ref="AD101:AK101" si="0">D101-D154</f>
        <v>0</v>
      </c>
      <c r="AE101" s="111">
        <f t="shared" si="0"/>
        <v>1222</v>
      </c>
      <c r="AF101" s="109">
        <f t="shared" si="0"/>
        <v>0</v>
      </c>
      <c r="AG101" s="109">
        <f t="shared" si="0"/>
        <v>0</v>
      </c>
      <c r="AH101" s="109">
        <f t="shared" si="0"/>
        <v>0</v>
      </c>
      <c r="AI101" s="109">
        <f t="shared" si="0"/>
        <v>83442</v>
      </c>
      <c r="AJ101" s="111">
        <f t="shared" si="0"/>
        <v>884</v>
      </c>
      <c r="AK101" s="109">
        <f t="shared" si="0"/>
        <v>62865.067555402769</v>
      </c>
    </row>
    <row r="102" spans="1:37" ht="14.4">
      <c r="A102" s="155" t="s">
        <v>150</v>
      </c>
      <c r="B102" s="160"/>
      <c r="C102" s="156">
        <v>2700</v>
      </c>
      <c r="D102" s="155"/>
      <c r="E102" s="175"/>
      <c r="F102" s="155"/>
      <c r="G102" s="156"/>
      <c r="H102" s="156"/>
      <c r="I102" s="163">
        <v>2700</v>
      </c>
      <c r="J102" s="175"/>
      <c r="K102" s="163">
        <v>2700</v>
      </c>
      <c r="L102" s="155"/>
      <c r="M102" s="163"/>
      <c r="N102" s="163"/>
      <c r="O102" s="163">
        <v>0</v>
      </c>
      <c r="P102" s="163"/>
      <c r="Q102" s="163">
        <v>0</v>
      </c>
      <c r="R102" s="155"/>
      <c r="S102" s="155"/>
      <c r="T102" s="155"/>
      <c r="U102" s="155"/>
      <c r="V102" s="155"/>
      <c r="W102" s="155"/>
      <c r="X102" s="155"/>
      <c r="AA102" s="104" t="s">
        <v>150</v>
      </c>
      <c r="AB102" s="118"/>
      <c r="AC102" s="109">
        <f t="shared" ref="AC102:AK107" si="1">C102-C155</f>
        <v>2700</v>
      </c>
      <c r="AD102" s="109">
        <f t="shared" si="1"/>
        <v>0</v>
      </c>
      <c r="AE102" s="111">
        <f t="shared" si="1"/>
        <v>0</v>
      </c>
      <c r="AF102" s="109">
        <f t="shared" si="1"/>
        <v>0</v>
      </c>
      <c r="AG102" s="109">
        <f t="shared" si="1"/>
        <v>0</v>
      </c>
      <c r="AH102" s="109">
        <f t="shared" si="1"/>
        <v>0</v>
      </c>
      <c r="AI102" s="109">
        <f t="shared" si="1"/>
        <v>2700</v>
      </c>
      <c r="AJ102" s="111">
        <f t="shared" si="1"/>
        <v>0</v>
      </c>
      <c r="AK102" s="109">
        <f t="shared" si="1"/>
        <v>-15541.092787291091</v>
      </c>
    </row>
    <row r="103" spans="1:37" ht="14.4">
      <c r="A103" s="155" t="s">
        <v>151</v>
      </c>
      <c r="B103" s="160"/>
      <c r="C103" s="156">
        <v>12739</v>
      </c>
      <c r="D103" s="155"/>
      <c r="E103" s="175">
        <v>293</v>
      </c>
      <c r="F103" s="155"/>
      <c r="G103" s="156"/>
      <c r="H103" s="156"/>
      <c r="I103" s="163">
        <v>13032</v>
      </c>
      <c r="J103" s="175">
        <v>136</v>
      </c>
      <c r="K103" s="163">
        <v>12896</v>
      </c>
      <c r="L103" s="155"/>
      <c r="M103" s="163"/>
      <c r="N103" s="163"/>
      <c r="O103" s="163">
        <v>293</v>
      </c>
      <c r="P103" s="163"/>
      <c r="Q103" s="163">
        <v>0</v>
      </c>
      <c r="R103" s="155"/>
      <c r="S103" s="155"/>
      <c r="T103" s="155"/>
      <c r="U103" s="155"/>
      <c r="V103" s="155"/>
      <c r="W103" s="155"/>
      <c r="X103" s="155"/>
      <c r="AA103" s="104" t="s">
        <v>151</v>
      </c>
      <c r="AB103" s="118"/>
      <c r="AC103" s="109">
        <f t="shared" si="1"/>
        <v>12739</v>
      </c>
      <c r="AD103" s="109">
        <f t="shared" si="1"/>
        <v>0</v>
      </c>
      <c r="AE103" s="111">
        <f t="shared" si="1"/>
        <v>293</v>
      </c>
      <c r="AF103" s="109">
        <f t="shared" si="1"/>
        <v>0</v>
      </c>
      <c r="AG103" s="109">
        <f t="shared" si="1"/>
        <v>0</v>
      </c>
      <c r="AH103" s="109">
        <f t="shared" si="1"/>
        <v>0</v>
      </c>
      <c r="AI103" s="109">
        <f t="shared" si="1"/>
        <v>13032</v>
      </c>
      <c r="AJ103" s="111">
        <f t="shared" si="1"/>
        <v>136</v>
      </c>
      <c r="AK103" s="109">
        <f t="shared" si="1"/>
        <v>11605</v>
      </c>
    </row>
    <row r="104" spans="1:37" ht="14.4">
      <c r="A104" s="162" t="s">
        <v>152</v>
      </c>
      <c r="B104" s="155"/>
      <c r="C104" s="157">
        <v>364</v>
      </c>
      <c r="D104" s="164"/>
      <c r="E104" s="177"/>
      <c r="F104" s="165"/>
      <c r="G104" s="157"/>
      <c r="H104" s="157"/>
      <c r="I104" s="164">
        <v>364</v>
      </c>
      <c r="J104" s="177"/>
      <c r="K104" s="164">
        <v>364</v>
      </c>
      <c r="L104" s="155"/>
      <c r="M104" s="163"/>
      <c r="N104" s="163"/>
      <c r="O104" s="164">
        <v>0</v>
      </c>
      <c r="P104" s="163"/>
      <c r="Q104" s="164">
        <v>0</v>
      </c>
      <c r="R104" s="155"/>
      <c r="S104" s="163"/>
      <c r="T104" s="155"/>
      <c r="U104" s="155"/>
      <c r="V104" s="155"/>
      <c r="W104" s="155"/>
      <c r="X104" s="155"/>
      <c r="AA104" s="112" t="s">
        <v>152</v>
      </c>
      <c r="AC104" s="114">
        <f t="shared" si="1"/>
        <v>364</v>
      </c>
      <c r="AD104" s="114">
        <f t="shared" si="1"/>
        <v>0</v>
      </c>
      <c r="AE104" s="113">
        <f t="shared" si="1"/>
        <v>0</v>
      </c>
      <c r="AF104" s="114">
        <f t="shared" si="1"/>
        <v>0</v>
      </c>
      <c r="AG104" s="114">
        <f t="shared" si="1"/>
        <v>0</v>
      </c>
      <c r="AH104" s="114">
        <f t="shared" si="1"/>
        <v>0</v>
      </c>
      <c r="AI104" s="114">
        <f t="shared" si="1"/>
        <v>364</v>
      </c>
      <c r="AJ104" s="113">
        <f t="shared" si="1"/>
        <v>0</v>
      </c>
      <c r="AK104" s="114">
        <f t="shared" si="1"/>
        <v>-323.81372388884904</v>
      </c>
    </row>
    <row r="105" spans="1:37" ht="14.4">
      <c r="A105" s="155"/>
      <c r="B105" s="160"/>
      <c r="C105" s="159"/>
      <c r="D105" s="155"/>
      <c r="E105" s="155"/>
      <c r="F105" s="155"/>
      <c r="G105" s="156"/>
      <c r="H105" s="156"/>
      <c r="I105" s="155"/>
      <c r="J105" s="17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AB105" s="118"/>
      <c r="AC105" s="119">
        <f t="shared" si="1"/>
        <v>0</v>
      </c>
      <c r="AD105" s="109">
        <f t="shared" si="1"/>
        <v>0</v>
      </c>
      <c r="AE105" s="111">
        <f t="shared" si="1"/>
        <v>0</v>
      </c>
      <c r="AF105" s="109">
        <f t="shared" si="1"/>
        <v>0</v>
      </c>
      <c r="AG105" s="109">
        <f t="shared" si="1"/>
        <v>0</v>
      </c>
      <c r="AH105" s="109">
        <f t="shared" si="1"/>
        <v>0</v>
      </c>
      <c r="AI105" s="109">
        <f t="shared" si="1"/>
        <v>0</v>
      </c>
      <c r="AJ105" s="111">
        <f t="shared" si="1"/>
        <v>0</v>
      </c>
      <c r="AK105" s="109">
        <f t="shared" si="1"/>
        <v>0</v>
      </c>
    </row>
    <row r="106" spans="1:37" ht="14.4">
      <c r="A106" s="155" t="s">
        <v>153</v>
      </c>
      <c r="B106" s="160"/>
      <c r="C106" s="156">
        <v>67145</v>
      </c>
      <c r="D106" s="155"/>
      <c r="E106" s="175">
        <v>929</v>
      </c>
      <c r="F106" s="155"/>
      <c r="G106" s="156">
        <v>0</v>
      </c>
      <c r="H106" s="156">
        <v>0</v>
      </c>
      <c r="I106" s="156">
        <v>68074</v>
      </c>
      <c r="J106" s="175">
        <v>748</v>
      </c>
      <c r="K106" s="156">
        <v>67326</v>
      </c>
      <c r="L106" s="163"/>
      <c r="M106" s="156"/>
      <c r="N106" s="156"/>
      <c r="O106" s="156"/>
      <c r="P106" s="156"/>
      <c r="Q106" s="156"/>
      <c r="R106" s="155"/>
      <c r="S106" s="155"/>
      <c r="T106" s="155"/>
      <c r="U106" s="162" t="s">
        <v>154</v>
      </c>
      <c r="V106" s="155"/>
      <c r="W106" s="155"/>
      <c r="X106" s="201">
        <v>524</v>
      </c>
      <c r="AA106" s="104" t="s">
        <v>153</v>
      </c>
      <c r="AB106" s="118"/>
      <c r="AC106" s="109">
        <f t="shared" si="1"/>
        <v>67145</v>
      </c>
      <c r="AD106" s="109">
        <f t="shared" si="1"/>
        <v>0</v>
      </c>
      <c r="AE106" s="111">
        <f t="shared" si="1"/>
        <v>929</v>
      </c>
      <c r="AF106" s="109">
        <f t="shared" si="1"/>
        <v>0</v>
      </c>
      <c r="AG106" s="109">
        <f t="shared" si="1"/>
        <v>0</v>
      </c>
      <c r="AH106" s="109">
        <f t="shared" si="1"/>
        <v>0</v>
      </c>
      <c r="AI106" s="109">
        <f t="shared" si="1"/>
        <v>68074</v>
      </c>
      <c r="AJ106" s="111">
        <f t="shared" si="1"/>
        <v>748</v>
      </c>
      <c r="AK106" s="109">
        <f t="shared" si="1"/>
        <v>66799.025933417288</v>
      </c>
    </row>
    <row r="107" spans="1:37" ht="14.4">
      <c r="A107" s="155" t="s">
        <v>155</v>
      </c>
      <c r="B107" s="160"/>
      <c r="C107" s="157">
        <v>30609</v>
      </c>
      <c r="D107" s="165"/>
      <c r="E107" s="177">
        <v>524</v>
      </c>
      <c r="F107" s="165"/>
      <c r="G107" s="157"/>
      <c r="H107" s="157"/>
      <c r="I107" s="164">
        <v>31133</v>
      </c>
      <c r="J107" s="177">
        <v>583</v>
      </c>
      <c r="K107" s="164">
        <v>30550</v>
      </c>
      <c r="L107" s="163"/>
      <c r="M107" s="163"/>
      <c r="N107" s="163"/>
      <c r="O107" s="164"/>
      <c r="P107" s="163"/>
      <c r="Q107" s="164"/>
      <c r="R107" s="155"/>
      <c r="S107" s="155"/>
      <c r="T107" s="155"/>
      <c r="U107" s="162" t="s">
        <v>156</v>
      </c>
      <c r="V107" s="155"/>
      <c r="W107" s="155"/>
      <c r="X107" s="201">
        <v>188.4828</v>
      </c>
      <c r="AA107" s="104" t="s">
        <v>155</v>
      </c>
      <c r="AB107" s="118"/>
      <c r="AC107" s="114">
        <f>C107-C160</f>
        <v>30609</v>
      </c>
      <c r="AD107" s="114">
        <f t="shared" si="1"/>
        <v>0</v>
      </c>
      <c r="AE107" s="113">
        <f t="shared" si="1"/>
        <v>524</v>
      </c>
      <c r="AF107" s="114">
        <f t="shared" si="1"/>
        <v>0</v>
      </c>
      <c r="AG107" s="114">
        <f t="shared" si="1"/>
        <v>0</v>
      </c>
      <c r="AH107" s="114">
        <f t="shared" si="1"/>
        <v>0</v>
      </c>
      <c r="AI107" s="114">
        <f t="shared" si="1"/>
        <v>31133</v>
      </c>
      <c r="AJ107" s="113">
        <f t="shared" si="1"/>
        <v>583</v>
      </c>
      <c r="AK107" s="114">
        <f t="shared" si="1"/>
        <v>30550</v>
      </c>
    </row>
    <row r="108" spans="1:37" ht="14.4">
      <c r="A108" s="155"/>
      <c r="B108" s="160"/>
      <c r="C108" s="156"/>
      <c r="D108" s="155"/>
      <c r="E108" s="155"/>
      <c r="F108" s="155"/>
      <c r="G108" s="156"/>
      <c r="H108" s="156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62" t="s">
        <v>157</v>
      </c>
      <c r="V108" s="155"/>
      <c r="W108" s="155"/>
      <c r="X108" s="201">
        <v>335.5172</v>
      </c>
      <c r="AB108" s="118"/>
      <c r="AC108" s="109">
        <f t="shared" ref="AC108:AK123" si="2">C108-C161</f>
        <v>0</v>
      </c>
      <c r="AD108" s="109">
        <f t="shared" si="2"/>
        <v>0</v>
      </c>
      <c r="AE108" s="109">
        <f t="shared" si="2"/>
        <v>0</v>
      </c>
      <c r="AF108" s="109">
        <f t="shared" si="2"/>
        <v>0</v>
      </c>
      <c r="AG108" s="109">
        <f t="shared" si="2"/>
        <v>0</v>
      </c>
      <c r="AH108" s="109">
        <f t="shared" si="2"/>
        <v>0</v>
      </c>
      <c r="AI108" s="109">
        <f t="shared" si="2"/>
        <v>0</v>
      </c>
      <c r="AJ108" s="111">
        <f t="shared" si="2"/>
        <v>0</v>
      </c>
      <c r="AK108" s="109">
        <f t="shared" si="2"/>
        <v>0</v>
      </c>
    </row>
    <row r="109" spans="1:37" ht="14.4">
      <c r="A109" s="155" t="s">
        <v>158</v>
      </c>
      <c r="B109" s="160"/>
      <c r="C109" s="156">
        <v>36536</v>
      </c>
      <c r="D109" s="156">
        <v>0</v>
      </c>
      <c r="E109" s="156">
        <v>405</v>
      </c>
      <c r="F109" s="156">
        <v>0</v>
      </c>
      <c r="G109" s="156">
        <v>0</v>
      </c>
      <c r="H109" s="156">
        <v>0</v>
      </c>
      <c r="I109" s="156">
        <v>36941</v>
      </c>
      <c r="J109" s="175">
        <v>165</v>
      </c>
      <c r="K109" s="163">
        <v>36776</v>
      </c>
      <c r="L109" s="163"/>
      <c r="M109" s="163"/>
      <c r="N109" s="163"/>
      <c r="O109" s="156"/>
      <c r="P109" s="163"/>
      <c r="Q109" s="156"/>
      <c r="R109" s="155"/>
      <c r="S109" s="163"/>
      <c r="T109" s="155"/>
      <c r="U109" s="155"/>
      <c r="V109" s="155"/>
      <c r="W109" s="155"/>
      <c r="X109" s="155"/>
      <c r="AA109" s="104" t="s">
        <v>158</v>
      </c>
      <c r="AB109" s="118"/>
      <c r="AC109" s="109">
        <f t="shared" si="2"/>
        <v>36536</v>
      </c>
      <c r="AD109" s="109">
        <f t="shared" si="2"/>
        <v>0</v>
      </c>
      <c r="AE109" s="109">
        <f t="shared" si="2"/>
        <v>405</v>
      </c>
      <c r="AF109" s="109">
        <f t="shared" si="2"/>
        <v>0</v>
      </c>
      <c r="AG109" s="109">
        <f t="shared" si="2"/>
        <v>0</v>
      </c>
      <c r="AH109" s="109">
        <f t="shared" si="2"/>
        <v>0</v>
      </c>
      <c r="AI109" s="109">
        <f t="shared" si="2"/>
        <v>36941</v>
      </c>
      <c r="AJ109" s="111">
        <f t="shared" si="2"/>
        <v>165</v>
      </c>
      <c r="AK109" s="109">
        <f t="shared" si="2"/>
        <v>34000.398498730014</v>
      </c>
    </row>
    <row r="110" spans="1:37" ht="14.4">
      <c r="A110" s="155"/>
      <c r="B110" s="160"/>
      <c r="C110" s="156"/>
      <c r="D110" s="155"/>
      <c r="E110" s="155"/>
      <c r="F110" s="155"/>
      <c r="G110" s="156"/>
      <c r="H110" s="156"/>
      <c r="I110" s="155"/>
      <c r="J110" s="155"/>
      <c r="K110" s="155"/>
      <c r="L110" s="182"/>
      <c r="M110" s="155"/>
      <c r="N110" s="155"/>
      <c r="O110" s="155"/>
      <c r="P110" s="155"/>
      <c r="Q110" s="155"/>
      <c r="R110" s="155"/>
      <c r="S110" s="163"/>
      <c r="T110" s="199">
        <v>0</v>
      </c>
      <c r="U110" s="162" t="s">
        <v>159</v>
      </c>
      <c r="V110" s="155"/>
      <c r="W110" s="155"/>
      <c r="X110" s="155"/>
      <c r="AB110" s="118"/>
      <c r="AC110" s="109">
        <f t="shared" si="2"/>
        <v>0</v>
      </c>
      <c r="AD110" s="109">
        <f t="shared" si="2"/>
        <v>0</v>
      </c>
      <c r="AE110" s="109">
        <f t="shared" si="2"/>
        <v>0</v>
      </c>
      <c r="AF110" s="109">
        <f t="shared" si="2"/>
        <v>0</v>
      </c>
      <c r="AG110" s="109">
        <f t="shared" si="2"/>
        <v>0</v>
      </c>
      <c r="AH110" s="109">
        <f t="shared" si="2"/>
        <v>0</v>
      </c>
      <c r="AI110" s="109">
        <f t="shared" si="2"/>
        <v>0</v>
      </c>
      <c r="AJ110" s="111">
        <f t="shared" si="2"/>
        <v>0</v>
      </c>
      <c r="AK110" s="109">
        <f t="shared" si="2"/>
        <v>-2665.8305620537099</v>
      </c>
    </row>
    <row r="111" spans="1:37" ht="14.4">
      <c r="A111" s="155" t="s">
        <v>160</v>
      </c>
      <c r="B111" s="160"/>
      <c r="C111" s="159">
        <v>0</v>
      </c>
      <c r="D111" s="155"/>
      <c r="E111" s="156">
        <v>0</v>
      </c>
      <c r="F111" s="156">
        <v>-5189</v>
      </c>
      <c r="G111" s="156"/>
      <c r="H111" s="156"/>
      <c r="I111" s="163">
        <v>-5189</v>
      </c>
      <c r="J111" s="175">
        <v>-5189</v>
      </c>
      <c r="K111" s="163">
        <v>0</v>
      </c>
      <c r="L111" s="155"/>
      <c r="M111" s="163"/>
      <c r="N111" s="163"/>
      <c r="O111" s="163">
        <v>0</v>
      </c>
      <c r="P111" s="163"/>
      <c r="Q111" s="163">
        <v>-5189</v>
      </c>
      <c r="R111" s="155"/>
      <c r="S111" s="155"/>
      <c r="T111" s="155">
        <v>324.88</v>
      </c>
      <c r="U111" s="162" t="s">
        <v>161</v>
      </c>
      <c r="V111" s="155"/>
      <c r="W111" s="155"/>
      <c r="X111" s="201">
        <v>748</v>
      </c>
      <c r="AA111" s="104" t="s">
        <v>160</v>
      </c>
      <c r="AB111" s="118"/>
      <c r="AC111" s="119">
        <f t="shared" si="2"/>
        <v>0</v>
      </c>
      <c r="AD111" s="109">
        <f t="shared" si="2"/>
        <v>0</v>
      </c>
      <c r="AE111" s="109">
        <f t="shared" si="2"/>
        <v>0</v>
      </c>
      <c r="AF111" s="109">
        <f t="shared" si="2"/>
        <v>-5189</v>
      </c>
      <c r="AG111" s="109">
        <f t="shared" si="2"/>
        <v>0</v>
      </c>
      <c r="AH111" s="109">
        <f t="shared" si="2"/>
        <v>0</v>
      </c>
      <c r="AI111" s="109">
        <f t="shared" si="2"/>
        <v>-5189</v>
      </c>
      <c r="AJ111" s="111">
        <f t="shared" si="2"/>
        <v>-5189</v>
      </c>
      <c r="AK111" s="109">
        <f t="shared" si="2"/>
        <v>-185.44597201318413</v>
      </c>
    </row>
    <row r="112" spans="1:37" ht="14.4">
      <c r="A112" s="155"/>
      <c r="B112" s="160"/>
      <c r="C112" s="156"/>
      <c r="D112" s="155"/>
      <c r="E112" s="156"/>
      <c r="F112" s="155"/>
      <c r="G112" s="156"/>
      <c r="H112" s="156"/>
      <c r="I112" s="155"/>
      <c r="J112" s="155"/>
      <c r="K112" s="155"/>
      <c r="L112" s="163"/>
      <c r="M112" s="155"/>
      <c r="N112" s="155"/>
      <c r="O112" s="155"/>
      <c r="P112" s="155"/>
      <c r="Q112" s="155"/>
      <c r="R112" s="155"/>
      <c r="S112" s="163"/>
      <c r="T112" s="155"/>
      <c r="U112" s="162" t="s">
        <v>162</v>
      </c>
      <c r="V112" s="155"/>
      <c r="W112" s="155"/>
      <c r="X112" s="201">
        <v>247.06439999999998</v>
      </c>
      <c r="AB112" s="118"/>
      <c r="AC112" s="109">
        <f t="shared" si="2"/>
        <v>0</v>
      </c>
      <c r="AD112" s="109">
        <f t="shared" si="2"/>
        <v>0</v>
      </c>
      <c r="AE112" s="109">
        <f t="shared" si="2"/>
        <v>0</v>
      </c>
      <c r="AF112" s="109">
        <f t="shared" si="2"/>
        <v>0</v>
      </c>
      <c r="AG112" s="109">
        <f t="shared" si="2"/>
        <v>0</v>
      </c>
      <c r="AH112" s="109">
        <f t="shared" si="2"/>
        <v>0</v>
      </c>
      <c r="AI112" s="109">
        <f t="shared" si="2"/>
        <v>0</v>
      </c>
      <c r="AJ112" s="111">
        <f t="shared" si="2"/>
        <v>0</v>
      </c>
      <c r="AK112" s="109">
        <f t="shared" si="2"/>
        <v>-75.6750327969051</v>
      </c>
    </row>
    <row r="113" spans="1:37" ht="14.4">
      <c r="A113" s="155" t="s">
        <v>163</v>
      </c>
      <c r="B113" s="160"/>
      <c r="C113" s="159">
        <v>2730</v>
      </c>
      <c r="D113" s="155"/>
      <c r="E113" s="156">
        <v>2</v>
      </c>
      <c r="F113" s="156">
        <v>21</v>
      </c>
      <c r="G113" s="156"/>
      <c r="H113" s="156"/>
      <c r="I113" s="163">
        <v>2753</v>
      </c>
      <c r="J113" s="163"/>
      <c r="K113" s="163">
        <v>2753</v>
      </c>
      <c r="L113" s="155"/>
      <c r="M113" s="163"/>
      <c r="N113" s="163"/>
      <c r="O113" s="163">
        <v>2</v>
      </c>
      <c r="P113" s="163"/>
      <c r="Q113" s="163">
        <v>21</v>
      </c>
      <c r="R113" s="155"/>
      <c r="S113" s="155"/>
      <c r="T113" s="155"/>
      <c r="U113" s="162" t="s">
        <v>164</v>
      </c>
      <c r="V113" s="155"/>
      <c r="W113" s="155"/>
      <c r="X113" s="201">
        <v>500.93560000000002</v>
      </c>
      <c r="Y113" s="155"/>
      <c r="AA113" s="104" t="s">
        <v>163</v>
      </c>
      <c r="AB113" s="118"/>
      <c r="AC113" s="119">
        <f t="shared" si="2"/>
        <v>2730</v>
      </c>
      <c r="AD113" s="109">
        <f t="shared" si="2"/>
        <v>0</v>
      </c>
      <c r="AE113" s="109">
        <f t="shared" si="2"/>
        <v>2</v>
      </c>
      <c r="AF113" s="109">
        <f t="shared" si="2"/>
        <v>21</v>
      </c>
      <c r="AG113" s="109">
        <f t="shared" si="2"/>
        <v>0</v>
      </c>
      <c r="AH113" s="109">
        <f t="shared" si="2"/>
        <v>0</v>
      </c>
      <c r="AI113" s="109">
        <f t="shared" si="2"/>
        <v>2753</v>
      </c>
      <c r="AJ113" s="111">
        <f t="shared" si="2"/>
        <v>0</v>
      </c>
      <c r="AK113" s="120">
        <f t="shared" si="2"/>
        <v>2753</v>
      </c>
    </row>
    <row r="114" spans="1:37" ht="14.4">
      <c r="A114" s="155" t="s">
        <v>165</v>
      </c>
      <c r="B114" s="160"/>
      <c r="C114" s="156">
        <v>3617</v>
      </c>
      <c r="D114" s="155"/>
      <c r="E114" s="156"/>
      <c r="F114" s="155"/>
      <c r="G114" s="156"/>
      <c r="H114" s="156"/>
      <c r="I114" s="163">
        <v>3617</v>
      </c>
      <c r="J114" s="155"/>
      <c r="K114" s="163">
        <v>3617</v>
      </c>
      <c r="L114" s="155"/>
      <c r="M114" s="163"/>
      <c r="N114" s="163"/>
      <c r="O114" s="163">
        <v>0</v>
      </c>
      <c r="P114" s="163"/>
      <c r="Q114" s="163">
        <v>0</v>
      </c>
      <c r="R114" s="155"/>
      <c r="S114" s="155"/>
      <c r="T114" s="155"/>
      <c r="U114" s="155"/>
      <c r="V114" s="155"/>
      <c r="W114" s="155"/>
      <c r="X114" s="155"/>
      <c r="Y114" s="155"/>
      <c r="AA114" s="104" t="s">
        <v>165</v>
      </c>
      <c r="AB114" s="118"/>
      <c r="AC114" s="109">
        <f t="shared" si="2"/>
        <v>3617</v>
      </c>
      <c r="AD114" s="109">
        <f t="shared" si="2"/>
        <v>0</v>
      </c>
      <c r="AE114" s="109">
        <f t="shared" si="2"/>
        <v>0</v>
      </c>
      <c r="AF114" s="109">
        <f t="shared" si="2"/>
        <v>0</v>
      </c>
      <c r="AG114" s="109">
        <f t="shared" si="2"/>
        <v>0</v>
      </c>
      <c r="AH114" s="109">
        <f t="shared" si="2"/>
        <v>0</v>
      </c>
      <c r="AI114" s="109">
        <f t="shared" si="2"/>
        <v>3617</v>
      </c>
      <c r="AJ114" s="111">
        <f t="shared" si="2"/>
        <v>0</v>
      </c>
      <c r="AK114" s="120">
        <f t="shared" si="2"/>
        <v>-13300.330943327237</v>
      </c>
    </row>
    <row r="115" spans="1:37" ht="14.4">
      <c r="A115" s="155"/>
      <c r="B115" s="160"/>
      <c r="C115" s="156"/>
      <c r="D115" s="155"/>
      <c r="E115" s="156"/>
      <c r="F115" s="155"/>
      <c r="G115" s="156"/>
      <c r="H115" s="156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63">
        <v>284.24</v>
      </c>
      <c r="U115" s="155"/>
      <c r="V115" s="155"/>
      <c r="W115" s="155"/>
      <c r="X115" s="155"/>
      <c r="Y115" s="155"/>
      <c r="AB115" s="118"/>
      <c r="AC115" s="109">
        <f t="shared" si="2"/>
        <v>0</v>
      </c>
      <c r="AD115" s="109">
        <f t="shared" si="2"/>
        <v>0</v>
      </c>
      <c r="AE115" s="109">
        <f t="shared" si="2"/>
        <v>0</v>
      </c>
      <c r="AF115" s="109">
        <f t="shared" si="2"/>
        <v>0</v>
      </c>
      <c r="AG115" s="109">
        <f t="shared" si="2"/>
        <v>0</v>
      </c>
      <c r="AH115" s="109">
        <f t="shared" si="2"/>
        <v>0</v>
      </c>
      <c r="AI115" s="109">
        <f t="shared" si="2"/>
        <v>0</v>
      </c>
      <c r="AJ115" s="111">
        <f t="shared" si="2"/>
        <v>0</v>
      </c>
      <c r="AK115" s="109">
        <f t="shared" si="2"/>
        <v>-6660.0517582020475</v>
      </c>
    </row>
    <row r="116" spans="1:37" ht="14.4">
      <c r="A116" s="155" t="s">
        <v>166</v>
      </c>
      <c r="B116" s="160"/>
      <c r="C116" s="156"/>
      <c r="D116" s="155"/>
      <c r="E116" s="156"/>
      <c r="F116" s="155"/>
      <c r="G116" s="156"/>
      <c r="H116" s="156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63">
        <v>-284.24</v>
      </c>
      <c r="U116" s="162" t="s">
        <v>167</v>
      </c>
      <c r="V116" s="155"/>
      <c r="W116" s="155"/>
      <c r="X116" s="162" t="s">
        <v>168</v>
      </c>
      <c r="Y116" s="155"/>
      <c r="AA116" s="104" t="s">
        <v>166</v>
      </c>
      <c r="AB116" s="118"/>
      <c r="AC116" s="109">
        <f t="shared" si="2"/>
        <v>0</v>
      </c>
      <c r="AD116" s="109">
        <f t="shared" si="2"/>
        <v>0</v>
      </c>
      <c r="AE116" s="109">
        <f t="shared" si="2"/>
        <v>0</v>
      </c>
      <c r="AF116" s="109">
        <f t="shared" si="2"/>
        <v>0</v>
      </c>
      <c r="AG116" s="109">
        <f t="shared" si="2"/>
        <v>0</v>
      </c>
      <c r="AH116" s="109">
        <f t="shared" si="2"/>
        <v>0</v>
      </c>
      <c r="AI116" s="109">
        <f t="shared" si="2"/>
        <v>0</v>
      </c>
      <c r="AJ116" s="111">
        <f t="shared" si="2"/>
        <v>0</v>
      </c>
      <c r="AK116" s="109">
        <f t="shared" si="2"/>
        <v>-5486.9068051513486</v>
      </c>
    </row>
    <row r="117" spans="1:37" ht="14.4">
      <c r="A117" s="155" t="s">
        <v>169</v>
      </c>
      <c r="B117" s="160"/>
      <c r="C117" s="175">
        <v>4580</v>
      </c>
      <c r="D117" s="155"/>
      <c r="E117" s="175">
        <v>400</v>
      </c>
      <c r="F117" s="155"/>
      <c r="G117" s="156"/>
      <c r="H117" s="115"/>
      <c r="I117" s="163">
        <v>4980</v>
      </c>
      <c r="J117" s="155"/>
      <c r="K117" s="163">
        <v>4980</v>
      </c>
      <c r="L117" s="155"/>
      <c r="M117" s="163"/>
      <c r="N117" s="163"/>
      <c r="O117" s="163">
        <v>400</v>
      </c>
      <c r="P117" s="163"/>
      <c r="Q117" s="163">
        <v>0</v>
      </c>
      <c r="R117" s="155"/>
      <c r="S117" s="155"/>
      <c r="T117" s="155"/>
      <c r="U117" s="162" t="s">
        <v>170</v>
      </c>
      <c r="V117" s="155"/>
      <c r="W117" s="155"/>
      <c r="X117" s="163">
        <v>335.5172</v>
      </c>
      <c r="Y117" s="162" t="s">
        <v>171</v>
      </c>
      <c r="AA117" s="104" t="s">
        <v>169</v>
      </c>
      <c r="AB117" s="118"/>
      <c r="AC117" s="111">
        <f t="shared" si="2"/>
        <v>4580</v>
      </c>
      <c r="AD117" s="109">
        <f t="shared" si="2"/>
        <v>0</v>
      </c>
      <c r="AE117" s="111">
        <f t="shared" si="2"/>
        <v>400</v>
      </c>
      <c r="AF117" s="109">
        <f t="shared" si="2"/>
        <v>0</v>
      </c>
      <c r="AG117" s="109">
        <f t="shared" si="2"/>
        <v>0</v>
      </c>
      <c r="AH117" s="115">
        <f t="shared" si="2"/>
        <v>0</v>
      </c>
      <c r="AI117" s="109">
        <f t="shared" si="2"/>
        <v>4980</v>
      </c>
      <c r="AJ117" s="111">
        <f t="shared" si="2"/>
        <v>0</v>
      </c>
      <c r="AK117" s="109">
        <f t="shared" si="2"/>
        <v>3806.8550469493011</v>
      </c>
    </row>
    <row r="118" spans="1:37" ht="14.4">
      <c r="A118" s="155" t="s">
        <v>172</v>
      </c>
      <c r="B118" s="160"/>
      <c r="C118" s="175">
        <v>9690</v>
      </c>
      <c r="D118" s="155"/>
      <c r="E118" s="175">
        <v>773</v>
      </c>
      <c r="F118" s="155"/>
      <c r="G118" s="156"/>
      <c r="H118" s="156"/>
      <c r="I118" s="163">
        <v>10463</v>
      </c>
      <c r="J118" s="175"/>
      <c r="K118" s="163">
        <v>10463</v>
      </c>
      <c r="L118" s="155"/>
      <c r="M118" s="163"/>
      <c r="N118" s="163"/>
      <c r="O118" s="163">
        <v>773</v>
      </c>
      <c r="P118" s="163"/>
      <c r="Q118" s="163">
        <v>0</v>
      </c>
      <c r="R118" s="155"/>
      <c r="S118" s="155"/>
      <c r="T118" s="155"/>
      <c r="U118" s="162" t="s">
        <v>173</v>
      </c>
      <c r="V118" s="155"/>
      <c r="W118" s="155"/>
      <c r="X118" s="201">
        <v>500.93560000000002</v>
      </c>
      <c r="Y118" s="162" t="s">
        <v>174</v>
      </c>
      <c r="AA118" s="104" t="s">
        <v>172</v>
      </c>
      <c r="AB118" s="118"/>
      <c r="AC118" s="111">
        <f t="shared" si="2"/>
        <v>9690</v>
      </c>
      <c r="AD118" s="109">
        <f t="shared" si="2"/>
        <v>0</v>
      </c>
      <c r="AE118" s="111">
        <f t="shared" si="2"/>
        <v>773</v>
      </c>
      <c r="AF118" s="109">
        <f t="shared" si="2"/>
        <v>0</v>
      </c>
      <c r="AG118" s="109">
        <f t="shared" si="2"/>
        <v>0</v>
      </c>
      <c r="AH118" s="109">
        <f t="shared" si="2"/>
        <v>0</v>
      </c>
      <c r="AI118" s="109">
        <f t="shared" si="2"/>
        <v>10463</v>
      </c>
      <c r="AJ118" s="111">
        <f t="shared" si="2"/>
        <v>0</v>
      </c>
      <c r="AK118" s="109">
        <f t="shared" si="2"/>
        <v>10463</v>
      </c>
    </row>
    <row r="119" spans="1:37" ht="14.4">
      <c r="A119" s="155" t="s">
        <v>175</v>
      </c>
      <c r="B119" s="160"/>
      <c r="C119" s="175">
        <v>737</v>
      </c>
      <c r="D119" s="155"/>
      <c r="E119" s="175"/>
      <c r="F119" s="155"/>
      <c r="G119" s="156"/>
      <c r="H119" s="156"/>
      <c r="I119" s="163">
        <v>737</v>
      </c>
      <c r="J119" s="155"/>
      <c r="K119" s="163">
        <v>737</v>
      </c>
      <c r="L119" s="155"/>
      <c r="M119" s="163"/>
      <c r="N119" s="163"/>
      <c r="O119" s="163">
        <v>0</v>
      </c>
      <c r="P119" s="163"/>
      <c r="Q119" s="163">
        <v>0</v>
      </c>
      <c r="R119" s="155"/>
      <c r="S119" s="155"/>
      <c r="T119" s="155"/>
      <c r="U119" s="162" t="s">
        <v>176</v>
      </c>
      <c r="V119" s="155"/>
      <c r="W119" s="155"/>
      <c r="X119" s="163">
        <v>-165.41840000000002</v>
      </c>
      <c r="Y119" s="162" t="s">
        <v>174</v>
      </c>
      <c r="AA119" s="104" t="s">
        <v>175</v>
      </c>
      <c r="AB119" s="118"/>
      <c r="AC119" s="111">
        <f t="shared" si="2"/>
        <v>737</v>
      </c>
      <c r="AD119" s="109">
        <f t="shared" si="2"/>
        <v>0</v>
      </c>
      <c r="AE119" s="111">
        <f t="shared" si="2"/>
        <v>0</v>
      </c>
      <c r="AF119" s="109">
        <f t="shared" si="2"/>
        <v>0</v>
      </c>
      <c r="AG119" s="109">
        <f t="shared" si="2"/>
        <v>0</v>
      </c>
      <c r="AH119" s="109">
        <f t="shared" si="2"/>
        <v>0</v>
      </c>
      <c r="AI119" s="109">
        <f t="shared" si="2"/>
        <v>737</v>
      </c>
      <c r="AJ119" s="111">
        <f t="shared" si="2"/>
        <v>0</v>
      </c>
      <c r="AK119" s="109">
        <f t="shared" si="2"/>
        <v>-9520.2791851251895</v>
      </c>
    </row>
    <row r="120" spans="1:37" ht="14.4">
      <c r="A120" s="155" t="s">
        <v>177</v>
      </c>
      <c r="B120" s="160"/>
      <c r="C120" s="177">
        <v>7142</v>
      </c>
      <c r="D120" s="165"/>
      <c r="E120" s="177">
        <v>754</v>
      </c>
      <c r="F120" s="165"/>
      <c r="G120" s="157"/>
      <c r="H120" s="157"/>
      <c r="I120" s="164">
        <v>7896</v>
      </c>
      <c r="J120" s="165"/>
      <c r="K120" s="164">
        <v>7896</v>
      </c>
      <c r="L120" s="155"/>
      <c r="M120" s="163"/>
      <c r="N120" s="163"/>
      <c r="O120" s="164">
        <v>754</v>
      </c>
      <c r="P120" s="163"/>
      <c r="Q120" s="164">
        <v>0</v>
      </c>
      <c r="R120" s="155"/>
      <c r="S120" s="155"/>
      <c r="T120" s="155"/>
      <c r="U120" s="155"/>
      <c r="V120" s="155"/>
      <c r="W120" s="155"/>
      <c r="X120" s="155"/>
      <c r="Y120" s="155"/>
      <c r="AA120" s="104" t="s">
        <v>177</v>
      </c>
      <c r="AB120" s="118"/>
      <c r="AC120" s="113">
        <f t="shared" si="2"/>
        <v>7142</v>
      </c>
      <c r="AD120" s="114">
        <f t="shared" si="2"/>
        <v>0</v>
      </c>
      <c r="AE120" s="113">
        <f t="shared" si="2"/>
        <v>754</v>
      </c>
      <c r="AF120" s="114">
        <f t="shared" si="2"/>
        <v>0</v>
      </c>
      <c r="AG120" s="114">
        <f t="shared" si="2"/>
        <v>0</v>
      </c>
      <c r="AH120" s="114">
        <f t="shared" si="2"/>
        <v>0</v>
      </c>
      <c r="AI120" s="114">
        <f t="shared" si="2"/>
        <v>7896</v>
      </c>
      <c r="AJ120" s="113">
        <f t="shared" si="2"/>
        <v>0</v>
      </c>
      <c r="AK120" s="114">
        <f t="shared" si="2"/>
        <v>7895.4043176475052</v>
      </c>
    </row>
    <row r="121" spans="1:37" ht="14.4">
      <c r="A121" s="155"/>
      <c r="B121" s="160"/>
      <c r="C121" s="175">
        <v>22149</v>
      </c>
      <c r="D121" s="155"/>
      <c r="E121" s="175">
        <v>1927</v>
      </c>
      <c r="F121" s="156">
        <v>0</v>
      </c>
      <c r="G121" s="156">
        <v>0</v>
      </c>
      <c r="H121" s="156">
        <v>0</v>
      </c>
      <c r="I121" s="156">
        <v>24076</v>
      </c>
      <c r="J121" s="175">
        <v>0</v>
      </c>
      <c r="K121" s="156">
        <v>24076</v>
      </c>
      <c r="L121" s="155"/>
      <c r="M121" s="156"/>
      <c r="N121" s="156"/>
      <c r="O121" s="156">
        <v>1927</v>
      </c>
      <c r="P121" s="156"/>
      <c r="Q121" s="156">
        <v>0</v>
      </c>
      <c r="R121" s="155"/>
      <c r="S121" s="155"/>
      <c r="T121" s="155"/>
      <c r="U121" s="155"/>
      <c r="V121" s="155"/>
      <c r="W121" s="155"/>
      <c r="X121" s="155"/>
      <c r="Y121" s="155"/>
      <c r="AB121" s="118"/>
      <c r="AC121" s="111">
        <f t="shared" si="2"/>
        <v>22149</v>
      </c>
      <c r="AD121" s="109">
        <f t="shared" si="2"/>
        <v>0</v>
      </c>
      <c r="AE121" s="111">
        <f t="shared" si="2"/>
        <v>1927</v>
      </c>
      <c r="AF121" s="109">
        <f t="shared" si="2"/>
        <v>0</v>
      </c>
      <c r="AG121" s="109">
        <f t="shared" si="2"/>
        <v>0</v>
      </c>
      <c r="AH121" s="109">
        <f t="shared" si="2"/>
        <v>0</v>
      </c>
      <c r="AI121" s="109">
        <f t="shared" si="2"/>
        <v>24076</v>
      </c>
      <c r="AJ121" s="111">
        <f t="shared" si="2"/>
        <v>0</v>
      </c>
      <c r="AK121" s="120">
        <f t="shared" si="2"/>
        <v>24076</v>
      </c>
    </row>
    <row r="122" spans="1:37" ht="14.4">
      <c r="A122" s="155" t="s">
        <v>178</v>
      </c>
      <c r="B122" s="160"/>
      <c r="C122" s="186"/>
      <c r="D122" s="155"/>
      <c r="E122" s="175"/>
      <c r="F122" s="155"/>
      <c r="G122" s="156"/>
      <c r="H122" s="156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AA122" s="104" t="s">
        <v>178</v>
      </c>
      <c r="AB122" s="118"/>
      <c r="AC122" s="121">
        <f t="shared" si="2"/>
        <v>0</v>
      </c>
      <c r="AD122" s="109">
        <f t="shared" si="2"/>
        <v>0</v>
      </c>
      <c r="AE122" s="111">
        <f t="shared" si="2"/>
        <v>0</v>
      </c>
      <c r="AF122" s="109">
        <f t="shared" si="2"/>
        <v>0</v>
      </c>
      <c r="AG122" s="109">
        <f t="shared" si="2"/>
        <v>0</v>
      </c>
      <c r="AH122" s="109">
        <f t="shared" si="2"/>
        <v>0</v>
      </c>
      <c r="AI122" s="109">
        <f t="shared" si="2"/>
        <v>0</v>
      </c>
      <c r="AJ122" s="111">
        <f t="shared" si="2"/>
        <v>0</v>
      </c>
      <c r="AK122" s="109">
        <f t="shared" si="2"/>
        <v>-10552.775973267757</v>
      </c>
    </row>
    <row r="123" spans="1:37" ht="14.4">
      <c r="A123" s="155" t="s">
        <v>179</v>
      </c>
      <c r="B123" s="160"/>
      <c r="C123" s="175">
        <v>827</v>
      </c>
      <c r="D123" s="155"/>
      <c r="E123" s="175">
        <v>189</v>
      </c>
      <c r="F123" s="155">
        <v>135</v>
      </c>
      <c r="G123" s="156"/>
      <c r="H123" s="156"/>
      <c r="I123" s="163">
        <v>1151</v>
      </c>
      <c r="J123" s="155"/>
      <c r="K123" s="163">
        <v>1151</v>
      </c>
      <c r="L123" s="155"/>
      <c r="M123" s="163"/>
      <c r="N123" s="163"/>
      <c r="O123" s="163">
        <v>189</v>
      </c>
      <c r="P123" s="163"/>
      <c r="Q123" s="163">
        <v>135</v>
      </c>
      <c r="R123" s="155"/>
      <c r="S123" s="155"/>
      <c r="T123" s="155"/>
      <c r="U123" s="155"/>
      <c r="V123" s="155"/>
      <c r="W123" s="155"/>
      <c r="X123" s="155"/>
      <c r="Y123" s="155"/>
      <c r="AA123" s="104" t="s">
        <v>179</v>
      </c>
      <c r="AB123" s="118"/>
      <c r="AC123" s="111">
        <f t="shared" si="2"/>
        <v>827</v>
      </c>
      <c r="AD123" s="109">
        <f t="shared" si="2"/>
        <v>0</v>
      </c>
      <c r="AE123" s="111">
        <f t="shared" si="2"/>
        <v>189</v>
      </c>
      <c r="AF123" s="111">
        <f t="shared" si="2"/>
        <v>135</v>
      </c>
      <c r="AG123" s="109">
        <f t="shared" si="2"/>
        <v>0</v>
      </c>
      <c r="AH123" s="109">
        <f t="shared" si="2"/>
        <v>0</v>
      </c>
      <c r="AI123" s="109">
        <f t="shared" si="2"/>
        <v>1151</v>
      </c>
      <c r="AJ123" s="111">
        <f t="shared" si="2"/>
        <v>0</v>
      </c>
      <c r="AK123" s="120">
        <f t="shared" si="2"/>
        <v>-4557.2018461197977</v>
      </c>
    </row>
    <row r="124" spans="1:37" ht="14.4">
      <c r="A124" s="155" t="s">
        <v>180</v>
      </c>
      <c r="B124" s="160"/>
      <c r="C124" s="175">
        <v>6748</v>
      </c>
      <c r="D124" s="155"/>
      <c r="E124" s="175">
        <v>211</v>
      </c>
      <c r="F124" s="156">
        <v>100</v>
      </c>
      <c r="G124" s="156"/>
      <c r="H124" s="156"/>
      <c r="I124" s="163">
        <v>7059</v>
      </c>
      <c r="J124" s="155"/>
      <c r="K124" s="163">
        <v>7059</v>
      </c>
      <c r="L124" s="155"/>
      <c r="M124" s="163"/>
      <c r="N124" s="163"/>
      <c r="O124" s="163">
        <v>211</v>
      </c>
      <c r="P124" s="163"/>
      <c r="Q124" s="163">
        <v>100</v>
      </c>
      <c r="R124" s="155"/>
      <c r="S124" s="155"/>
      <c r="T124" s="155"/>
      <c r="U124" s="155"/>
      <c r="V124" s="155"/>
      <c r="W124" s="155"/>
      <c r="X124" s="155"/>
      <c r="Y124" s="155"/>
      <c r="AA124" s="104" t="s">
        <v>180</v>
      </c>
      <c r="AB124" s="118"/>
      <c r="AC124" s="111">
        <f t="shared" ref="AC124:AK139" si="3">C124-C177</f>
        <v>6748</v>
      </c>
      <c r="AD124" s="109">
        <f t="shared" si="3"/>
        <v>0</v>
      </c>
      <c r="AE124" s="111">
        <f t="shared" si="3"/>
        <v>211</v>
      </c>
      <c r="AF124" s="109">
        <f t="shared" si="3"/>
        <v>100</v>
      </c>
      <c r="AG124" s="109">
        <f t="shared" si="3"/>
        <v>0</v>
      </c>
      <c r="AH124" s="109">
        <f t="shared" si="3"/>
        <v>0</v>
      </c>
      <c r="AI124" s="109">
        <f t="shared" si="3"/>
        <v>7059</v>
      </c>
      <c r="AJ124" s="111">
        <f t="shared" si="3"/>
        <v>0</v>
      </c>
      <c r="AK124" s="109">
        <f t="shared" si="3"/>
        <v>2214.4258728520408</v>
      </c>
    </row>
    <row r="125" spans="1:37" ht="14.4">
      <c r="A125" s="155" t="s">
        <v>181</v>
      </c>
      <c r="B125" s="160"/>
      <c r="C125" s="175">
        <v>8866</v>
      </c>
      <c r="D125" s="155"/>
      <c r="E125" s="175">
        <v>4</v>
      </c>
      <c r="F125" s="156"/>
      <c r="G125" s="156"/>
      <c r="H125" s="156"/>
      <c r="I125" s="163">
        <v>8870</v>
      </c>
      <c r="J125" s="163"/>
      <c r="K125" s="163">
        <v>8870</v>
      </c>
      <c r="L125" s="155"/>
      <c r="M125" s="163"/>
      <c r="N125" s="156"/>
      <c r="O125" s="163">
        <v>4</v>
      </c>
      <c r="P125" s="163"/>
      <c r="Q125" s="163">
        <v>0</v>
      </c>
      <c r="R125" s="155"/>
      <c r="S125" s="155"/>
      <c r="T125" s="155"/>
      <c r="U125" s="155"/>
      <c r="V125" s="155"/>
      <c r="W125" s="155"/>
      <c r="X125" s="155"/>
      <c r="Y125" s="155"/>
      <c r="AA125" s="104" t="s">
        <v>181</v>
      </c>
      <c r="AB125" s="118"/>
      <c r="AC125" s="111">
        <f t="shared" si="3"/>
        <v>8866</v>
      </c>
      <c r="AD125" s="109">
        <f t="shared" si="3"/>
        <v>0</v>
      </c>
      <c r="AE125" s="111">
        <f t="shared" si="3"/>
        <v>4</v>
      </c>
      <c r="AF125" s="109">
        <f t="shared" si="3"/>
        <v>0</v>
      </c>
      <c r="AG125" s="109">
        <f t="shared" si="3"/>
        <v>0</v>
      </c>
      <c r="AH125" s="109">
        <f t="shared" si="3"/>
        <v>0</v>
      </c>
      <c r="AI125" s="109">
        <f t="shared" si="3"/>
        <v>8870</v>
      </c>
      <c r="AJ125" s="111">
        <f t="shared" si="3"/>
        <v>0</v>
      </c>
      <c r="AK125" s="120">
        <f t="shared" si="3"/>
        <v>6339.2422282276839</v>
      </c>
    </row>
    <row r="126" spans="1:37" ht="14.4">
      <c r="A126" s="155" t="s">
        <v>182</v>
      </c>
      <c r="B126" s="160"/>
      <c r="C126" s="177">
        <v>574</v>
      </c>
      <c r="D126" s="165"/>
      <c r="E126" s="177">
        <v>0</v>
      </c>
      <c r="F126" s="165"/>
      <c r="G126" s="157"/>
      <c r="H126" s="157"/>
      <c r="I126" s="164">
        <v>574</v>
      </c>
      <c r="J126" s="177"/>
      <c r="K126" s="164">
        <v>574</v>
      </c>
      <c r="L126" s="155"/>
      <c r="M126" s="163"/>
      <c r="N126" s="163"/>
      <c r="O126" s="164">
        <v>0</v>
      </c>
      <c r="P126" s="163"/>
      <c r="Q126" s="164">
        <v>0</v>
      </c>
      <c r="R126" s="155"/>
      <c r="S126" s="155"/>
      <c r="T126" s="194"/>
      <c r="U126" s="155"/>
      <c r="V126" s="155"/>
      <c r="W126" s="155"/>
      <c r="X126" s="155"/>
      <c r="Y126" s="155"/>
      <c r="AA126" s="104" t="s">
        <v>182</v>
      </c>
      <c r="AB126" s="118"/>
      <c r="AC126" s="113">
        <f t="shared" si="3"/>
        <v>574</v>
      </c>
      <c r="AD126" s="114">
        <f t="shared" si="3"/>
        <v>0</v>
      </c>
      <c r="AE126" s="113">
        <f t="shared" si="3"/>
        <v>0</v>
      </c>
      <c r="AF126" s="114">
        <f t="shared" si="3"/>
        <v>0</v>
      </c>
      <c r="AG126" s="114">
        <f t="shared" si="3"/>
        <v>0</v>
      </c>
      <c r="AH126" s="114">
        <f t="shared" si="3"/>
        <v>0</v>
      </c>
      <c r="AI126" s="114">
        <f t="shared" si="3"/>
        <v>574</v>
      </c>
      <c r="AJ126" s="113">
        <f t="shared" si="3"/>
        <v>0</v>
      </c>
      <c r="AK126" s="122">
        <f t="shared" si="3"/>
        <v>-1399.1285357426675</v>
      </c>
    </row>
    <row r="127" spans="1:37" ht="14.4">
      <c r="A127" s="155"/>
      <c r="B127" s="160"/>
      <c r="C127" s="175">
        <v>17015</v>
      </c>
      <c r="D127" s="156">
        <v>0</v>
      </c>
      <c r="E127" s="156">
        <v>404</v>
      </c>
      <c r="F127" s="156">
        <v>235</v>
      </c>
      <c r="G127" s="156">
        <v>0</v>
      </c>
      <c r="H127" s="156">
        <v>0</v>
      </c>
      <c r="I127" s="156">
        <v>17654</v>
      </c>
      <c r="J127" s="175">
        <v>0</v>
      </c>
      <c r="K127" s="156">
        <v>17654</v>
      </c>
      <c r="L127" s="155"/>
      <c r="M127" s="156"/>
      <c r="N127" s="156"/>
      <c r="O127" s="156">
        <v>404</v>
      </c>
      <c r="P127" s="156"/>
      <c r="Q127" s="156">
        <v>235</v>
      </c>
      <c r="R127" s="155"/>
      <c r="S127" s="155"/>
      <c r="T127" s="155"/>
      <c r="U127" s="155"/>
      <c r="V127" s="155"/>
      <c r="W127" s="155"/>
      <c r="X127" s="155"/>
      <c r="Y127" s="155"/>
      <c r="AB127" s="118"/>
      <c r="AC127" s="111">
        <f t="shared" si="3"/>
        <v>17015</v>
      </c>
      <c r="AD127" s="109">
        <f t="shared" si="3"/>
        <v>0</v>
      </c>
      <c r="AE127" s="109">
        <f t="shared" si="3"/>
        <v>404</v>
      </c>
      <c r="AF127" s="109">
        <f t="shared" si="3"/>
        <v>235</v>
      </c>
      <c r="AG127" s="109">
        <f t="shared" si="3"/>
        <v>0</v>
      </c>
      <c r="AH127" s="109">
        <f t="shared" si="3"/>
        <v>0</v>
      </c>
      <c r="AI127" s="109">
        <f t="shared" si="3"/>
        <v>17654</v>
      </c>
      <c r="AJ127" s="111">
        <f t="shared" si="3"/>
        <v>0</v>
      </c>
      <c r="AK127" s="109">
        <f t="shared" si="3"/>
        <v>17452.97853897035</v>
      </c>
    </row>
    <row r="128" spans="1:37" ht="14.4">
      <c r="A128" s="155"/>
      <c r="B128" s="160"/>
      <c r="C128" s="175"/>
      <c r="D128" s="155"/>
      <c r="E128" s="156"/>
      <c r="F128" s="155"/>
      <c r="G128" s="156"/>
      <c r="H128" s="156"/>
      <c r="I128" s="155"/>
      <c r="J128" s="155"/>
      <c r="K128" s="155"/>
      <c r="L128" s="155"/>
      <c r="M128" s="155"/>
      <c r="N128" s="163"/>
      <c r="O128" s="163">
        <v>0</v>
      </c>
      <c r="P128" s="163"/>
      <c r="Q128" s="163">
        <v>0</v>
      </c>
      <c r="R128" s="155"/>
      <c r="S128" s="155"/>
      <c r="T128" s="155"/>
      <c r="U128" s="155"/>
      <c r="V128" s="155"/>
      <c r="W128" s="155"/>
      <c r="X128" s="155"/>
      <c r="Y128" s="155"/>
      <c r="AB128" s="118"/>
      <c r="AC128" s="111">
        <f t="shared" si="3"/>
        <v>0</v>
      </c>
      <c r="AD128" s="109">
        <f t="shared" si="3"/>
        <v>0</v>
      </c>
      <c r="AE128" s="109">
        <f t="shared" si="3"/>
        <v>0</v>
      </c>
      <c r="AF128" s="109">
        <f t="shared" si="3"/>
        <v>0</v>
      </c>
      <c r="AG128" s="109">
        <f t="shared" si="3"/>
        <v>0</v>
      </c>
      <c r="AH128" s="109">
        <f t="shared" si="3"/>
        <v>0</v>
      </c>
      <c r="AI128" s="109">
        <f t="shared" si="3"/>
        <v>0</v>
      </c>
      <c r="AJ128" s="111">
        <f t="shared" si="3"/>
        <v>0</v>
      </c>
      <c r="AK128" s="109">
        <f t="shared" si="3"/>
        <v>-356.607775</v>
      </c>
    </row>
    <row r="129" spans="1:37" ht="14.4">
      <c r="A129" s="155" t="s">
        <v>183</v>
      </c>
      <c r="B129" s="123"/>
      <c r="C129" s="175">
        <v>-3569</v>
      </c>
      <c r="D129" s="155"/>
      <c r="E129" s="156">
        <v>17</v>
      </c>
      <c r="F129" s="155"/>
      <c r="G129" s="156"/>
      <c r="H129" s="156"/>
      <c r="I129" s="163">
        <v>-3552</v>
      </c>
      <c r="J129" s="155"/>
      <c r="K129" s="163">
        <v>-3552</v>
      </c>
      <c r="L129" s="155"/>
      <c r="M129" s="163"/>
      <c r="N129" s="163"/>
      <c r="O129" s="163">
        <v>17</v>
      </c>
      <c r="P129" s="163"/>
      <c r="Q129" s="163">
        <v>0</v>
      </c>
      <c r="R129" s="155"/>
      <c r="S129" s="155"/>
      <c r="T129" s="155"/>
      <c r="AA129" s="104" t="s">
        <v>183</v>
      </c>
      <c r="AB129" s="123"/>
      <c r="AC129" s="111">
        <f t="shared" si="3"/>
        <v>-3569</v>
      </c>
      <c r="AD129" s="109">
        <f t="shared" si="3"/>
        <v>0</v>
      </c>
      <c r="AE129" s="109">
        <f t="shared" si="3"/>
        <v>17</v>
      </c>
      <c r="AF129" s="109">
        <f t="shared" si="3"/>
        <v>0</v>
      </c>
      <c r="AG129" s="109">
        <f t="shared" si="3"/>
        <v>0</v>
      </c>
      <c r="AH129" s="109">
        <f t="shared" si="3"/>
        <v>0</v>
      </c>
      <c r="AI129" s="109">
        <f t="shared" si="3"/>
        <v>-3552</v>
      </c>
      <c r="AJ129" s="111">
        <f t="shared" si="3"/>
        <v>0</v>
      </c>
      <c r="AK129" s="109">
        <f t="shared" si="3"/>
        <v>-3333.6666666666665</v>
      </c>
    </row>
    <row r="130" spans="1:37" ht="14.4">
      <c r="A130" s="155" t="s">
        <v>184</v>
      </c>
      <c r="B130" s="160"/>
      <c r="C130" s="177">
        <v>1395</v>
      </c>
      <c r="D130" s="165"/>
      <c r="E130" s="177">
        <v>0</v>
      </c>
      <c r="F130" s="157"/>
      <c r="G130" s="157"/>
      <c r="H130" s="157"/>
      <c r="I130" s="164">
        <v>1395</v>
      </c>
      <c r="J130" s="165"/>
      <c r="K130" s="164">
        <v>1395</v>
      </c>
      <c r="L130" s="155"/>
      <c r="M130" s="163"/>
      <c r="N130" s="163"/>
      <c r="O130" s="164">
        <v>0</v>
      </c>
      <c r="P130" s="163"/>
      <c r="Q130" s="164">
        <v>0</v>
      </c>
      <c r="R130" s="155"/>
      <c r="S130" s="155"/>
      <c r="T130" s="155"/>
      <c r="AA130" s="104" t="s">
        <v>184</v>
      </c>
      <c r="AB130" s="118"/>
      <c r="AC130" s="113">
        <f t="shared" si="3"/>
        <v>1395</v>
      </c>
      <c r="AD130" s="114">
        <f t="shared" si="3"/>
        <v>0</v>
      </c>
      <c r="AE130" s="113">
        <f t="shared" si="3"/>
        <v>0</v>
      </c>
      <c r="AF130" s="114">
        <f t="shared" si="3"/>
        <v>0</v>
      </c>
      <c r="AG130" s="114">
        <f t="shared" si="3"/>
        <v>0</v>
      </c>
      <c r="AH130" s="114">
        <f t="shared" si="3"/>
        <v>0</v>
      </c>
      <c r="AI130" s="114">
        <f t="shared" si="3"/>
        <v>1395</v>
      </c>
      <c r="AJ130" s="114">
        <f t="shared" si="3"/>
        <v>0</v>
      </c>
      <c r="AK130" s="122">
        <f t="shared" si="3"/>
        <v>1355</v>
      </c>
    </row>
    <row r="131" spans="1:37" ht="14.4">
      <c r="A131" s="155"/>
      <c r="B131" s="160"/>
      <c r="C131" s="175"/>
      <c r="D131" s="155"/>
      <c r="E131" s="156"/>
      <c r="F131" s="155"/>
      <c r="G131" s="156"/>
      <c r="H131" s="156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AB131" s="118"/>
      <c r="AC131" s="111">
        <f t="shared" si="3"/>
        <v>0</v>
      </c>
      <c r="AD131" s="109">
        <f t="shared" si="3"/>
        <v>0</v>
      </c>
      <c r="AE131" s="109">
        <f t="shared" si="3"/>
        <v>0</v>
      </c>
      <c r="AF131" s="109">
        <f t="shared" si="3"/>
        <v>0</v>
      </c>
      <c r="AG131" s="109">
        <f t="shared" si="3"/>
        <v>0</v>
      </c>
      <c r="AH131" s="109">
        <f t="shared" si="3"/>
        <v>0</v>
      </c>
      <c r="AI131" s="109">
        <f t="shared" si="3"/>
        <v>0</v>
      </c>
      <c r="AJ131" s="109">
        <f t="shared" si="3"/>
        <v>0</v>
      </c>
      <c r="AK131" s="109">
        <f t="shared" si="3"/>
        <v>-250</v>
      </c>
    </row>
    <row r="132" spans="1:37" ht="14.4">
      <c r="A132" s="155" t="s">
        <v>185</v>
      </c>
      <c r="B132" s="160"/>
      <c r="C132" s="156">
        <v>-1245</v>
      </c>
      <c r="D132" s="156">
        <v>0</v>
      </c>
      <c r="E132" s="156">
        <v>-1907</v>
      </c>
      <c r="F132" s="156">
        <v>-5403</v>
      </c>
      <c r="G132" s="156">
        <v>0</v>
      </c>
      <c r="H132" s="156">
        <v>0</v>
      </c>
      <c r="I132" s="156">
        <v>-8555</v>
      </c>
      <c r="J132" s="156">
        <v>-5024</v>
      </c>
      <c r="K132" s="156">
        <v>-3531</v>
      </c>
      <c r="L132" s="155"/>
      <c r="M132" s="156"/>
      <c r="N132" s="156"/>
      <c r="O132" s="156">
        <v>-2312</v>
      </c>
      <c r="P132" s="156"/>
      <c r="Q132" s="156">
        <v>-5403</v>
      </c>
      <c r="R132" s="155"/>
      <c r="S132" s="155"/>
      <c r="T132" s="155"/>
      <c r="AA132" s="104" t="s">
        <v>185</v>
      </c>
      <c r="AB132" s="118"/>
      <c r="AC132" s="109">
        <f t="shared" si="3"/>
        <v>-1245</v>
      </c>
      <c r="AD132" s="109">
        <f t="shared" si="3"/>
        <v>0</v>
      </c>
      <c r="AE132" s="109">
        <f t="shared" si="3"/>
        <v>-1907</v>
      </c>
      <c r="AF132" s="109">
        <f t="shared" si="3"/>
        <v>-5403</v>
      </c>
      <c r="AG132" s="109">
        <f t="shared" si="3"/>
        <v>0</v>
      </c>
      <c r="AH132" s="109">
        <f t="shared" si="3"/>
        <v>0</v>
      </c>
      <c r="AI132" s="109">
        <f t="shared" si="3"/>
        <v>-8555</v>
      </c>
      <c r="AJ132" s="109">
        <f t="shared" si="3"/>
        <v>-5024</v>
      </c>
      <c r="AK132" s="109">
        <f t="shared" si="3"/>
        <v>-3522.6666666666665</v>
      </c>
    </row>
    <row r="133" spans="1:37" ht="14.4">
      <c r="A133" s="155"/>
      <c r="B133" s="160"/>
      <c r="C133" s="156"/>
      <c r="D133" s="155"/>
      <c r="E133" s="156"/>
      <c r="F133" s="155"/>
      <c r="G133" s="156"/>
      <c r="H133" s="156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AB133" s="118"/>
      <c r="AC133" s="109">
        <f t="shared" si="3"/>
        <v>0</v>
      </c>
      <c r="AD133" s="109">
        <f t="shared" si="3"/>
        <v>0</v>
      </c>
      <c r="AE133" s="109">
        <f t="shared" si="3"/>
        <v>0</v>
      </c>
      <c r="AF133" s="109">
        <f t="shared" si="3"/>
        <v>0</v>
      </c>
      <c r="AG133" s="109">
        <f t="shared" si="3"/>
        <v>0</v>
      </c>
      <c r="AH133" s="109">
        <f t="shared" si="3"/>
        <v>0</v>
      </c>
      <c r="AI133" s="109">
        <f t="shared" si="3"/>
        <v>0</v>
      </c>
      <c r="AJ133" s="109">
        <f t="shared" si="3"/>
        <v>0</v>
      </c>
      <c r="AK133" s="109">
        <f t="shared" si="3"/>
        <v>0</v>
      </c>
    </row>
    <row r="134" spans="1:37" ht="14.4">
      <c r="A134" s="155" t="s">
        <v>186</v>
      </c>
      <c r="B134" s="160"/>
      <c r="C134" s="186">
        <v>175</v>
      </c>
      <c r="D134" s="155"/>
      <c r="E134" s="156">
        <v>0</v>
      </c>
      <c r="F134" s="155"/>
      <c r="G134" s="156"/>
      <c r="H134" s="156"/>
      <c r="I134" s="163">
        <v>175</v>
      </c>
      <c r="J134" s="155"/>
      <c r="K134" s="163">
        <v>175</v>
      </c>
      <c r="L134" s="155"/>
      <c r="M134" s="163"/>
      <c r="N134" s="163"/>
      <c r="O134" s="163"/>
      <c r="P134" s="163"/>
      <c r="Q134" s="163">
        <v>0</v>
      </c>
      <c r="R134" s="155"/>
      <c r="S134" s="155"/>
      <c r="T134" s="163"/>
      <c r="AA134" s="104" t="s">
        <v>186</v>
      </c>
      <c r="AB134" s="118"/>
      <c r="AC134" s="121">
        <f t="shared" si="3"/>
        <v>175</v>
      </c>
      <c r="AD134" s="109">
        <f t="shared" si="3"/>
        <v>0</v>
      </c>
      <c r="AE134" s="109">
        <f t="shared" si="3"/>
        <v>0</v>
      </c>
      <c r="AF134" s="109">
        <f t="shared" si="3"/>
        <v>0</v>
      </c>
      <c r="AG134" s="109">
        <f t="shared" si="3"/>
        <v>0</v>
      </c>
      <c r="AH134" s="109">
        <f t="shared" si="3"/>
        <v>0</v>
      </c>
      <c r="AI134" s="109">
        <f t="shared" si="3"/>
        <v>175</v>
      </c>
      <c r="AJ134" s="109">
        <f t="shared" si="3"/>
        <v>0</v>
      </c>
      <c r="AK134" s="109">
        <f t="shared" si="3"/>
        <v>1842.3769621482606</v>
      </c>
    </row>
    <row r="135" spans="1:37" ht="14.4">
      <c r="A135" s="155"/>
      <c r="B135" s="160"/>
      <c r="C135" s="157"/>
      <c r="D135" s="165"/>
      <c r="E135" s="157"/>
      <c r="F135" s="165"/>
      <c r="G135" s="157"/>
      <c r="H135" s="157"/>
      <c r="I135" s="165"/>
      <c r="J135" s="165"/>
      <c r="K135" s="165"/>
      <c r="L135" s="155"/>
      <c r="M135" s="155"/>
      <c r="N135" s="155"/>
      <c r="O135" s="165"/>
      <c r="P135" s="155"/>
      <c r="Q135" s="165"/>
      <c r="R135" s="155"/>
      <c r="S135" s="155"/>
      <c r="T135" s="155"/>
      <c r="AB135" s="118"/>
      <c r="AC135" s="114">
        <f t="shared" si="3"/>
        <v>0</v>
      </c>
      <c r="AD135" s="114">
        <f t="shared" si="3"/>
        <v>0</v>
      </c>
      <c r="AE135" s="114">
        <f t="shared" si="3"/>
        <v>0</v>
      </c>
      <c r="AF135" s="114">
        <f t="shared" si="3"/>
        <v>0</v>
      </c>
      <c r="AG135" s="114">
        <f t="shared" si="3"/>
        <v>0</v>
      </c>
      <c r="AH135" s="114">
        <f t="shared" si="3"/>
        <v>0</v>
      </c>
      <c r="AI135" s="114">
        <f t="shared" si="3"/>
        <v>0</v>
      </c>
      <c r="AJ135" s="114">
        <f t="shared" si="3"/>
        <v>0</v>
      </c>
      <c r="AK135" s="114">
        <f t="shared" si="3"/>
        <v>-140.84719683872652</v>
      </c>
    </row>
    <row r="136" spans="1:37" ht="14.4">
      <c r="A136" s="155" t="s">
        <v>187</v>
      </c>
      <c r="B136" s="160"/>
      <c r="C136" s="156">
        <v>-1070</v>
      </c>
      <c r="D136" s="156">
        <v>0</v>
      </c>
      <c r="E136" s="156">
        <v>-1907</v>
      </c>
      <c r="F136" s="156">
        <v>-5403</v>
      </c>
      <c r="G136" s="156">
        <v>0</v>
      </c>
      <c r="H136" s="156">
        <v>0</v>
      </c>
      <c r="I136" s="156">
        <v>-8380</v>
      </c>
      <c r="J136" s="156">
        <v>-5024</v>
      </c>
      <c r="K136" s="156">
        <v>-3356</v>
      </c>
      <c r="L136" s="155"/>
      <c r="M136" s="156"/>
      <c r="N136" s="156"/>
      <c r="O136" s="156">
        <v>-2312</v>
      </c>
      <c r="P136" s="156"/>
      <c r="Q136" s="156">
        <v>-5403</v>
      </c>
      <c r="R136" s="155"/>
      <c r="S136" s="155"/>
      <c r="T136" s="155"/>
      <c r="AA136" s="104" t="s">
        <v>187</v>
      </c>
      <c r="AB136" s="118"/>
      <c r="AC136" s="109">
        <f t="shared" si="3"/>
        <v>-1070</v>
      </c>
      <c r="AD136" s="109">
        <f t="shared" si="3"/>
        <v>0</v>
      </c>
      <c r="AE136" s="109">
        <f t="shared" si="3"/>
        <v>-1907</v>
      </c>
      <c r="AF136" s="109">
        <f t="shared" si="3"/>
        <v>-5403</v>
      </c>
      <c r="AG136" s="109">
        <f t="shared" si="3"/>
        <v>0</v>
      </c>
      <c r="AH136" s="109">
        <f t="shared" si="3"/>
        <v>0</v>
      </c>
      <c r="AI136" s="109">
        <f t="shared" si="3"/>
        <v>-8380</v>
      </c>
      <c r="AJ136" s="109">
        <f t="shared" si="3"/>
        <v>-5024</v>
      </c>
      <c r="AK136" s="109">
        <f t="shared" si="3"/>
        <v>-2689.2710906615084</v>
      </c>
    </row>
    <row r="137" spans="1:37" ht="14.4">
      <c r="A137" s="155"/>
      <c r="B137" s="160"/>
      <c r="C137" s="156"/>
      <c r="D137" s="155"/>
      <c r="E137" s="156"/>
      <c r="F137" s="155"/>
      <c r="G137" s="156"/>
      <c r="H137" s="156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AB137" s="118"/>
      <c r="AC137" s="109">
        <f t="shared" si="3"/>
        <v>0</v>
      </c>
      <c r="AD137" s="109">
        <f t="shared" si="3"/>
        <v>0</v>
      </c>
      <c r="AE137" s="109">
        <f t="shared" si="3"/>
        <v>0</v>
      </c>
      <c r="AF137" s="109">
        <f t="shared" si="3"/>
        <v>0</v>
      </c>
      <c r="AG137" s="109">
        <f t="shared" si="3"/>
        <v>0</v>
      </c>
      <c r="AH137" s="109">
        <f t="shared" si="3"/>
        <v>0</v>
      </c>
      <c r="AI137" s="109">
        <f t="shared" si="3"/>
        <v>0</v>
      </c>
      <c r="AJ137" s="109">
        <f t="shared" si="3"/>
        <v>0</v>
      </c>
      <c r="AK137" s="109">
        <f t="shared" si="3"/>
        <v>1141.4952496484957</v>
      </c>
    </row>
    <row r="138" spans="1:37" ht="14.4">
      <c r="A138" s="155" t="s">
        <v>188</v>
      </c>
      <c r="B138" s="160"/>
      <c r="C138" s="186">
        <v>442</v>
      </c>
      <c r="D138" s="155"/>
      <c r="E138" s="156"/>
      <c r="F138" s="155"/>
      <c r="G138" s="156"/>
      <c r="H138" s="156"/>
      <c r="I138" s="163">
        <v>442</v>
      </c>
      <c r="J138" s="155"/>
      <c r="K138" s="163">
        <v>442</v>
      </c>
      <c r="L138" s="155"/>
      <c r="M138" s="163"/>
      <c r="N138" s="163"/>
      <c r="O138" s="163">
        <v>0</v>
      </c>
      <c r="P138" s="163"/>
      <c r="Q138" s="163">
        <v>0</v>
      </c>
      <c r="R138" s="155"/>
      <c r="S138" s="155"/>
      <c r="T138" s="186">
        <v>502</v>
      </c>
      <c r="AA138" s="104" t="s">
        <v>188</v>
      </c>
      <c r="AB138" s="118"/>
      <c r="AC138" s="121">
        <f t="shared" si="3"/>
        <v>442</v>
      </c>
      <c r="AD138" s="109">
        <f t="shared" si="3"/>
        <v>0</v>
      </c>
      <c r="AE138" s="109">
        <f t="shared" si="3"/>
        <v>0</v>
      </c>
      <c r="AF138" s="109">
        <f t="shared" si="3"/>
        <v>0</v>
      </c>
      <c r="AG138" s="109">
        <f t="shared" si="3"/>
        <v>0</v>
      </c>
      <c r="AH138" s="109">
        <f t="shared" si="3"/>
        <v>0</v>
      </c>
      <c r="AI138" s="109">
        <f t="shared" si="3"/>
        <v>442</v>
      </c>
      <c r="AJ138" s="109">
        <f t="shared" si="3"/>
        <v>0</v>
      </c>
      <c r="AK138" s="109">
        <f t="shared" si="3"/>
        <v>1238.9731712558578</v>
      </c>
    </row>
    <row r="139" spans="1:37" ht="14.4">
      <c r="A139" s="155" t="s">
        <v>189</v>
      </c>
      <c r="B139" s="160"/>
      <c r="C139" s="186">
        <v>1607</v>
      </c>
      <c r="D139" s="155"/>
      <c r="E139" s="156"/>
      <c r="F139" s="155"/>
      <c r="G139" s="156"/>
      <c r="H139" s="156"/>
      <c r="I139" s="163">
        <v>1607</v>
      </c>
      <c r="J139" s="155"/>
      <c r="K139" s="163">
        <v>1607</v>
      </c>
      <c r="L139" s="155"/>
      <c r="M139" s="163"/>
      <c r="N139" s="163"/>
      <c r="O139" s="163">
        <v>0</v>
      </c>
      <c r="P139" s="163"/>
      <c r="Q139" s="163">
        <v>0</v>
      </c>
      <c r="R139" s="155"/>
      <c r="S139" s="155"/>
      <c r="T139" s="186">
        <v>1769</v>
      </c>
      <c r="AA139" s="104" t="s">
        <v>189</v>
      </c>
      <c r="AB139" s="118"/>
      <c r="AC139" s="121">
        <f t="shared" si="3"/>
        <v>1607</v>
      </c>
      <c r="AD139" s="109">
        <f t="shared" si="3"/>
        <v>0</v>
      </c>
      <c r="AE139" s="109">
        <f t="shared" si="3"/>
        <v>0</v>
      </c>
      <c r="AF139" s="109">
        <f t="shared" si="3"/>
        <v>0</v>
      </c>
      <c r="AG139" s="109">
        <f t="shared" si="3"/>
        <v>0</v>
      </c>
      <c r="AH139" s="109">
        <f t="shared" si="3"/>
        <v>0</v>
      </c>
      <c r="AI139" s="109">
        <f t="shared" si="3"/>
        <v>1607</v>
      </c>
      <c r="AJ139" s="109">
        <f t="shared" si="3"/>
        <v>0</v>
      </c>
      <c r="AK139" s="109">
        <f t="shared" si="3"/>
        <v>3955.0360527856596</v>
      </c>
    </row>
    <row r="140" spans="1:37" ht="14.4">
      <c r="A140" s="162" t="s">
        <v>190</v>
      </c>
      <c r="B140" s="160"/>
      <c r="C140" s="115">
        <v>-615</v>
      </c>
      <c r="D140" s="155"/>
      <c r="E140" s="156"/>
      <c r="F140" s="155"/>
      <c r="G140" s="156"/>
      <c r="H140" s="156"/>
      <c r="I140" s="163">
        <v>-615</v>
      </c>
      <c r="J140" s="163">
        <v>0</v>
      </c>
      <c r="K140" s="163">
        <v>-615</v>
      </c>
      <c r="L140" s="155"/>
      <c r="M140" s="163"/>
      <c r="N140" s="163"/>
      <c r="O140" s="163">
        <v>0</v>
      </c>
      <c r="P140" s="163"/>
      <c r="Q140" s="163">
        <v>0</v>
      </c>
      <c r="R140" s="155"/>
      <c r="S140" s="155"/>
      <c r="T140" s="155"/>
      <c r="AA140" s="112" t="s">
        <v>190</v>
      </c>
      <c r="AB140" s="118"/>
      <c r="AC140" s="115">
        <f t="shared" ref="AC140:AK145" si="4">C140-C193</f>
        <v>-615</v>
      </c>
      <c r="AD140" s="109">
        <f t="shared" si="4"/>
        <v>0</v>
      </c>
      <c r="AE140" s="109">
        <f t="shared" si="4"/>
        <v>0</v>
      </c>
      <c r="AF140" s="109">
        <f t="shared" si="4"/>
        <v>0</v>
      </c>
      <c r="AG140" s="109">
        <f t="shared" si="4"/>
        <v>0</v>
      </c>
      <c r="AH140" s="109">
        <f t="shared" si="4"/>
        <v>0</v>
      </c>
      <c r="AI140" s="109">
        <f t="shared" si="4"/>
        <v>-615</v>
      </c>
      <c r="AJ140" s="109">
        <f t="shared" si="4"/>
        <v>0</v>
      </c>
      <c r="AK140" s="109">
        <f t="shared" si="4"/>
        <v>-1307.3999532733528</v>
      </c>
    </row>
    <row r="141" spans="1:37" ht="14.4">
      <c r="A141" s="155" t="s">
        <v>191</v>
      </c>
      <c r="B141" s="160"/>
      <c r="C141" s="186">
        <v>640</v>
      </c>
      <c r="D141" s="155"/>
      <c r="E141" s="156">
        <v>-12</v>
      </c>
      <c r="F141" s="155"/>
      <c r="G141" s="156"/>
      <c r="H141" s="156"/>
      <c r="I141" s="163">
        <v>628</v>
      </c>
      <c r="J141" s="155"/>
      <c r="K141" s="163">
        <v>628</v>
      </c>
      <c r="L141" s="155"/>
      <c r="M141" s="163"/>
      <c r="N141" s="163"/>
      <c r="O141" s="163">
        <v>-12</v>
      </c>
      <c r="P141" s="163"/>
      <c r="Q141" s="163">
        <v>0</v>
      </c>
      <c r="R141" s="155"/>
      <c r="S141" s="155"/>
      <c r="T141" s="155"/>
      <c r="AA141" s="104" t="s">
        <v>191</v>
      </c>
      <c r="AB141" s="118"/>
      <c r="AC141" s="121">
        <f t="shared" si="4"/>
        <v>640</v>
      </c>
      <c r="AD141" s="109">
        <f t="shared" si="4"/>
        <v>0</v>
      </c>
      <c r="AE141" s="109">
        <f t="shared" si="4"/>
        <v>-12</v>
      </c>
      <c r="AF141" s="109">
        <f t="shared" si="4"/>
        <v>0</v>
      </c>
      <c r="AG141" s="109">
        <f t="shared" si="4"/>
        <v>0</v>
      </c>
      <c r="AH141" s="109">
        <f t="shared" si="4"/>
        <v>0</v>
      </c>
      <c r="AI141" s="109">
        <f t="shared" si="4"/>
        <v>628</v>
      </c>
      <c r="AJ141" s="109">
        <f t="shared" si="4"/>
        <v>0</v>
      </c>
      <c r="AK141" s="109">
        <f t="shared" si="4"/>
        <v>-447.39833966820834</v>
      </c>
    </row>
    <row r="142" spans="1:37" ht="14.4">
      <c r="A142" s="155" t="s">
        <v>192</v>
      </c>
      <c r="B142" s="160"/>
      <c r="C142" s="156"/>
      <c r="D142" s="155"/>
      <c r="E142" s="156"/>
      <c r="F142" s="155"/>
      <c r="G142" s="156"/>
      <c r="H142" s="156"/>
      <c r="I142" s="163">
        <v>0</v>
      </c>
      <c r="J142" s="156">
        <v>-15</v>
      </c>
      <c r="K142" s="163">
        <v>-15</v>
      </c>
      <c r="L142" s="155"/>
      <c r="M142" s="163"/>
      <c r="N142" s="163"/>
      <c r="O142" s="163">
        <v>0</v>
      </c>
      <c r="P142" s="163"/>
      <c r="Q142" s="163">
        <v>0</v>
      </c>
      <c r="R142" s="155"/>
      <c r="S142" s="155"/>
      <c r="T142" s="155"/>
      <c r="AA142" s="104" t="s">
        <v>192</v>
      </c>
      <c r="AB142" s="118"/>
      <c r="AC142" s="109">
        <f t="shared" si="4"/>
        <v>0</v>
      </c>
      <c r="AD142" s="109">
        <f t="shared" si="4"/>
        <v>0</v>
      </c>
      <c r="AE142" s="109">
        <f t="shared" si="4"/>
        <v>0</v>
      </c>
      <c r="AF142" s="109">
        <f t="shared" si="4"/>
        <v>0</v>
      </c>
      <c r="AG142" s="109">
        <f t="shared" si="4"/>
        <v>0</v>
      </c>
      <c r="AH142" s="109">
        <f t="shared" si="4"/>
        <v>0</v>
      </c>
      <c r="AI142" s="109">
        <f t="shared" si="4"/>
        <v>0</v>
      </c>
      <c r="AJ142" s="109">
        <f t="shared" si="4"/>
        <v>-15</v>
      </c>
      <c r="AK142" s="109">
        <f t="shared" si="4"/>
        <v>-15.063567849046093</v>
      </c>
    </row>
    <row r="143" spans="1:37" ht="14.4">
      <c r="A143" s="155"/>
      <c r="B143" s="160"/>
      <c r="C143" s="156"/>
      <c r="D143" s="155"/>
      <c r="E143" s="156"/>
      <c r="F143" s="155"/>
      <c r="G143" s="156"/>
      <c r="H143" s="156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AB143" s="118"/>
      <c r="AC143" s="109">
        <f t="shared" si="4"/>
        <v>0</v>
      </c>
      <c r="AD143" s="109">
        <f t="shared" si="4"/>
        <v>0</v>
      </c>
      <c r="AE143" s="109">
        <f t="shared" si="4"/>
        <v>0</v>
      </c>
      <c r="AF143" s="109">
        <f t="shared" si="4"/>
        <v>0</v>
      </c>
      <c r="AG143" s="109">
        <f t="shared" si="4"/>
        <v>0</v>
      </c>
      <c r="AH143" s="109">
        <f t="shared" si="4"/>
        <v>0</v>
      </c>
      <c r="AI143" s="109">
        <f t="shared" si="4"/>
        <v>0</v>
      </c>
      <c r="AJ143" s="109">
        <f t="shared" si="4"/>
        <v>0</v>
      </c>
      <c r="AK143" s="109">
        <f t="shared" si="4"/>
        <v>0</v>
      </c>
    </row>
    <row r="144" spans="1:37" ht="15" thickBot="1">
      <c r="A144" s="155" t="s">
        <v>193</v>
      </c>
      <c r="B144" s="160"/>
      <c r="C144" s="178">
        <v>-3144</v>
      </c>
      <c r="D144" s="178">
        <v>0</v>
      </c>
      <c r="E144" s="178">
        <v>-1895</v>
      </c>
      <c r="F144" s="158">
        <v>-5403</v>
      </c>
      <c r="G144" s="158">
        <v>0</v>
      </c>
      <c r="H144" s="158">
        <v>0</v>
      </c>
      <c r="I144" s="158">
        <v>-10442</v>
      </c>
      <c r="J144" s="158">
        <v>-5009</v>
      </c>
      <c r="K144" s="158">
        <v>-5403</v>
      </c>
      <c r="L144" s="155"/>
      <c r="M144" s="159"/>
      <c r="N144" s="159"/>
      <c r="O144" s="158">
        <v>-2300</v>
      </c>
      <c r="P144" s="159"/>
      <c r="Q144" s="158">
        <v>-5403</v>
      </c>
      <c r="R144" s="155"/>
      <c r="S144" s="155"/>
      <c r="T144" s="155"/>
      <c r="AA144" s="104" t="s">
        <v>193</v>
      </c>
      <c r="AB144" s="118"/>
      <c r="AC144" s="124">
        <f t="shared" si="4"/>
        <v>-3144</v>
      </c>
      <c r="AD144" s="124">
        <f t="shared" si="4"/>
        <v>0</v>
      </c>
      <c r="AE144" s="124">
        <f t="shared" si="4"/>
        <v>-1895</v>
      </c>
      <c r="AF144" s="116">
        <f t="shared" si="4"/>
        <v>-5403</v>
      </c>
      <c r="AG144" s="116">
        <f t="shared" si="4"/>
        <v>0</v>
      </c>
      <c r="AH144" s="116">
        <f t="shared" si="4"/>
        <v>0</v>
      </c>
      <c r="AI144" s="116">
        <f t="shared" si="4"/>
        <v>-10442</v>
      </c>
      <c r="AJ144" s="116">
        <f t="shared" si="4"/>
        <v>-5009</v>
      </c>
      <c r="AK144" s="116">
        <f t="shared" si="4"/>
        <v>-5403</v>
      </c>
    </row>
    <row r="145" spans="1:37" ht="15" thickTop="1">
      <c r="A145" s="155"/>
      <c r="B145" s="161"/>
      <c r="C145" s="163"/>
      <c r="D145" s="155"/>
      <c r="E145" s="156"/>
      <c r="F145" s="155"/>
      <c r="G145" s="155"/>
      <c r="H145" s="155"/>
      <c r="I145" s="155"/>
      <c r="J145" s="155"/>
      <c r="K145" s="163">
        <v>0</v>
      </c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AB145" s="125"/>
      <c r="AC145" s="109">
        <f t="shared" si="4"/>
        <v>0</v>
      </c>
      <c r="AD145" s="109">
        <f t="shared" si="4"/>
        <v>0</v>
      </c>
      <c r="AE145" s="109">
        <f t="shared" si="4"/>
        <v>0</v>
      </c>
      <c r="AF145" s="109">
        <f t="shared" si="4"/>
        <v>0</v>
      </c>
      <c r="AG145" s="109">
        <f t="shared" si="4"/>
        <v>0</v>
      </c>
      <c r="AH145" s="109">
        <f t="shared" si="4"/>
        <v>0</v>
      </c>
      <c r="AI145" s="109">
        <f t="shared" si="4"/>
        <v>0</v>
      </c>
      <c r="AJ145" s="109">
        <f t="shared" si="4"/>
        <v>0</v>
      </c>
      <c r="AK145" s="109">
        <f t="shared" si="4"/>
        <v>-927.06666666666672</v>
      </c>
    </row>
    <row r="146" spans="1:37">
      <c r="A146" s="155"/>
      <c r="B146" s="155"/>
      <c r="C146" s="155"/>
      <c r="D146" s="155"/>
      <c r="E146" s="163"/>
      <c r="F146" s="155"/>
      <c r="G146" s="163"/>
      <c r="H146" s="156"/>
      <c r="I146" s="155"/>
      <c r="J146" s="163"/>
      <c r="K146" s="163"/>
      <c r="L146" s="163"/>
      <c r="M146" s="163"/>
      <c r="N146" s="155"/>
      <c r="O146" s="155"/>
      <c r="P146" s="155"/>
      <c r="Q146" s="155"/>
      <c r="R146" s="155"/>
      <c r="S146" s="155"/>
      <c r="T146" s="155"/>
      <c r="U146" s="163"/>
      <c r="V146" s="155"/>
    </row>
    <row r="147" spans="1:37">
      <c r="A147" s="155"/>
      <c r="B147" s="155"/>
      <c r="C147" s="163"/>
      <c r="D147" s="155"/>
      <c r="E147" s="163"/>
      <c r="F147" s="163"/>
      <c r="G147" s="155"/>
      <c r="H147" s="156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</row>
    <row r="148" spans="1:37">
      <c r="A148" s="155"/>
      <c r="B148" s="155"/>
      <c r="C148" s="163"/>
      <c r="D148" s="155"/>
      <c r="E148" s="155"/>
      <c r="F148" s="163"/>
      <c r="G148" s="163"/>
      <c r="H148" s="156"/>
      <c r="I148" s="155"/>
      <c r="J148" s="155"/>
      <c r="K148" s="163"/>
      <c r="L148" s="155"/>
      <c r="M148" s="155"/>
      <c r="N148" s="155"/>
      <c r="O148" s="155"/>
      <c r="P148" s="155"/>
      <c r="Q148" s="163"/>
      <c r="R148" s="155"/>
      <c r="S148" s="155"/>
      <c r="T148" s="162" t="s">
        <v>196</v>
      </c>
      <c r="U148" s="155"/>
      <c r="V148" s="155"/>
    </row>
    <row r="149" spans="1:37">
      <c r="A149" s="162"/>
      <c r="B149" s="155"/>
      <c r="C149" s="155"/>
      <c r="D149" s="155"/>
      <c r="E149" s="155"/>
      <c r="F149" s="155"/>
      <c r="G149" s="155"/>
      <c r="H149" s="156"/>
      <c r="I149" s="155"/>
      <c r="J149" s="155"/>
      <c r="K149" s="163"/>
      <c r="L149" s="155"/>
      <c r="M149" s="155"/>
      <c r="N149" s="155"/>
      <c r="O149" s="155"/>
      <c r="P149" s="155"/>
      <c r="Q149" s="163"/>
      <c r="R149" s="155"/>
      <c r="S149" s="155"/>
      <c r="T149" s="162" t="s">
        <v>198</v>
      </c>
      <c r="U149" s="162" t="s">
        <v>72</v>
      </c>
      <c r="V149" s="162" t="s">
        <v>84</v>
      </c>
    </row>
    <row r="150" spans="1:37">
      <c r="A150" s="162"/>
      <c r="B150" s="155"/>
      <c r="C150" s="155"/>
      <c r="D150" s="155"/>
      <c r="E150" s="155"/>
      <c r="F150" s="155"/>
      <c r="G150" s="155"/>
      <c r="H150" s="156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62" t="s">
        <v>200</v>
      </c>
      <c r="U150" s="156">
        <v>-1710</v>
      </c>
      <c r="V150" s="156">
        <v>-3984</v>
      </c>
    </row>
    <row r="151" spans="1:37">
      <c r="A151" s="155"/>
      <c r="B151" s="155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62" t="s">
        <v>202</v>
      </c>
      <c r="U151" s="156">
        <v>6347</v>
      </c>
      <c r="V151" s="156">
        <v>6370</v>
      </c>
    </row>
    <row r="152" spans="1:37" ht="13.8" thickBot="1">
      <c r="A152" s="155"/>
      <c r="B152" s="155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62" t="s">
        <v>203</v>
      </c>
      <c r="U152" s="156">
        <v>8866</v>
      </c>
      <c r="V152" s="156">
        <v>8870</v>
      </c>
    </row>
    <row r="153" spans="1:37" ht="14.4">
      <c r="A153" s="188" t="s">
        <v>194</v>
      </c>
      <c r="B153" s="188"/>
      <c r="C153" s="155"/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62" t="s">
        <v>205</v>
      </c>
      <c r="U153" s="156">
        <v>7107</v>
      </c>
      <c r="V153" s="156">
        <v>7644</v>
      </c>
    </row>
    <row r="154" spans="1:37" ht="14.4">
      <c r="A154" s="126" t="s">
        <v>195</v>
      </c>
      <c r="B154" s="189"/>
      <c r="C154" s="155"/>
      <c r="D154" s="155"/>
      <c r="E154" s="155"/>
      <c r="F154" s="155"/>
      <c r="G154" s="155"/>
      <c r="H154" s="155"/>
      <c r="I154" s="155"/>
      <c r="J154" s="155"/>
      <c r="K154" s="189">
        <v>19692.932444597227</v>
      </c>
      <c r="L154" s="155"/>
      <c r="M154" s="155"/>
      <c r="N154" s="155"/>
      <c r="O154" s="155"/>
      <c r="P154" s="155"/>
      <c r="Q154" s="155"/>
      <c r="R154" s="155"/>
      <c r="S154" s="155"/>
      <c r="T154" s="162" t="s">
        <v>207</v>
      </c>
      <c r="U154" s="156">
        <v>7916</v>
      </c>
      <c r="V154" s="156">
        <v>6160</v>
      </c>
    </row>
    <row r="155" spans="1:37" ht="14.4">
      <c r="A155" s="127" t="s">
        <v>197</v>
      </c>
      <c r="B155" s="128"/>
      <c r="C155" s="155"/>
      <c r="D155" s="155"/>
      <c r="E155" s="155"/>
      <c r="F155" s="155"/>
      <c r="G155" s="155"/>
      <c r="H155" s="155"/>
      <c r="I155" s="155"/>
      <c r="J155" s="155"/>
      <c r="K155" s="128">
        <v>18241.092787291091</v>
      </c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</row>
    <row r="156" spans="1:37" ht="14.4">
      <c r="A156" s="127" t="s">
        <v>199</v>
      </c>
      <c r="B156" s="190"/>
      <c r="C156" s="155"/>
      <c r="D156" s="155"/>
      <c r="E156" s="155"/>
      <c r="F156" s="155"/>
      <c r="G156" s="155"/>
      <c r="H156" s="155"/>
      <c r="I156" s="155"/>
      <c r="J156" s="155"/>
      <c r="K156" s="190">
        <v>1291</v>
      </c>
      <c r="L156" s="155"/>
      <c r="M156" s="155"/>
      <c r="N156" s="155"/>
      <c r="O156" s="155"/>
      <c r="P156" s="155"/>
      <c r="Q156" s="155"/>
      <c r="R156" s="155"/>
      <c r="S156" s="155"/>
      <c r="T156" s="162" t="s">
        <v>210</v>
      </c>
      <c r="U156" s="163">
        <v>176126</v>
      </c>
      <c r="V156" s="163">
        <v>171271</v>
      </c>
    </row>
    <row r="157" spans="1:37" ht="14.4">
      <c r="A157" s="127" t="s">
        <v>201</v>
      </c>
      <c r="B157" s="190"/>
      <c r="C157" s="155"/>
      <c r="D157" s="155"/>
      <c r="E157" s="155"/>
      <c r="F157" s="155"/>
      <c r="G157" s="155"/>
      <c r="H157" s="155"/>
      <c r="I157" s="155"/>
      <c r="J157" s="155"/>
      <c r="K157" s="190">
        <v>687.81372388884904</v>
      </c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</row>
    <row r="158" spans="1:37" ht="14.4">
      <c r="A158" s="127" t="s">
        <v>16</v>
      </c>
      <c r="B158" s="128"/>
      <c r="C158" s="155"/>
      <c r="D158" s="155"/>
      <c r="E158" s="155"/>
      <c r="F158" s="155"/>
      <c r="G158" s="155"/>
      <c r="H158" s="155"/>
      <c r="I158" s="155"/>
      <c r="J158" s="155"/>
      <c r="K158" s="128">
        <v>0</v>
      </c>
      <c r="L158" s="155"/>
      <c r="M158" s="155"/>
      <c r="N158" s="155"/>
      <c r="O158" s="155"/>
      <c r="P158" s="155"/>
      <c r="Q158" s="155"/>
      <c r="R158" s="155"/>
      <c r="S158" s="155"/>
      <c r="T158" s="162" t="s">
        <v>213</v>
      </c>
      <c r="U158" s="192">
        <v>22.249368367862555</v>
      </c>
      <c r="V158" s="192">
        <v>27.803733766233766</v>
      </c>
    </row>
    <row r="159" spans="1:37" ht="14.4">
      <c r="A159" s="129" t="s">
        <v>204</v>
      </c>
      <c r="B159" s="130"/>
      <c r="C159" s="155"/>
      <c r="D159" s="155"/>
      <c r="E159" s="155"/>
      <c r="F159" s="155"/>
      <c r="G159" s="155"/>
      <c r="H159" s="155"/>
      <c r="I159" s="155"/>
      <c r="J159" s="155"/>
      <c r="K159" s="130">
        <v>526.97406658271257</v>
      </c>
      <c r="L159" s="155"/>
      <c r="M159" s="155"/>
      <c r="N159" s="155"/>
      <c r="O159" s="155"/>
      <c r="P159" s="155"/>
      <c r="Q159" s="155"/>
      <c r="R159" s="155"/>
      <c r="S159" s="155"/>
      <c r="T159" s="162" t="s">
        <v>213</v>
      </c>
      <c r="U159" s="192">
        <v>3.5</v>
      </c>
      <c r="V159" s="192">
        <v>3.5</v>
      </c>
    </row>
    <row r="160" spans="1:37" ht="14.4">
      <c r="A160" s="129" t="s">
        <v>206</v>
      </c>
      <c r="B160" s="130"/>
      <c r="C160" s="155"/>
      <c r="D160" s="155"/>
      <c r="E160" s="155"/>
      <c r="F160" s="155"/>
      <c r="G160" s="155"/>
      <c r="H160" s="155"/>
      <c r="I160" s="155"/>
      <c r="J160" s="155"/>
      <c r="K160" s="130">
        <v>0</v>
      </c>
      <c r="L160" s="155"/>
      <c r="M160" s="155"/>
      <c r="N160" s="155"/>
      <c r="O160" s="155"/>
      <c r="P160" s="155"/>
      <c r="Q160" s="155"/>
      <c r="R160" s="155"/>
      <c r="S160" s="155"/>
      <c r="T160" s="162" t="s">
        <v>216</v>
      </c>
      <c r="U160" s="192">
        <v>-18.749368367862555</v>
      </c>
      <c r="V160" s="192">
        <v>-24.303733766233766</v>
      </c>
    </row>
    <row r="161" spans="1:22" ht="14.4">
      <c r="A161" s="129" t="s">
        <v>208</v>
      </c>
      <c r="B161" s="130"/>
      <c r="C161" s="155"/>
      <c r="D161" s="155"/>
      <c r="E161" s="155"/>
      <c r="F161" s="155"/>
      <c r="G161" s="155"/>
      <c r="H161" s="155"/>
      <c r="I161" s="155"/>
      <c r="J161" s="155"/>
      <c r="K161" s="130">
        <v>0</v>
      </c>
      <c r="L161" s="155"/>
      <c r="M161" s="155"/>
      <c r="N161" s="155"/>
      <c r="O161" s="155"/>
      <c r="P161" s="155"/>
      <c r="Q161" s="155"/>
      <c r="R161" s="155"/>
      <c r="S161" s="155"/>
      <c r="T161" s="162" t="s">
        <v>218</v>
      </c>
      <c r="U161" s="163">
        <v>42405.714285714283</v>
      </c>
      <c r="V161" s="163">
        <v>42774.571428571428</v>
      </c>
    </row>
    <row r="162" spans="1:22" ht="14.4">
      <c r="A162" s="131" t="s">
        <v>209</v>
      </c>
      <c r="B162" s="130"/>
      <c r="C162" s="155"/>
      <c r="D162" s="155"/>
      <c r="E162" s="155"/>
      <c r="F162" s="155"/>
      <c r="G162" s="155"/>
      <c r="H162" s="155"/>
      <c r="I162" s="155"/>
      <c r="J162" s="155"/>
      <c r="K162" s="130">
        <v>2775.6015012699886</v>
      </c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</row>
    <row r="163" spans="1:22" ht="14.4">
      <c r="A163" s="132" t="s">
        <v>211</v>
      </c>
      <c r="B163" s="128"/>
      <c r="C163" s="155"/>
      <c r="D163" s="155"/>
      <c r="E163" s="155"/>
      <c r="F163" s="155"/>
      <c r="G163" s="155"/>
      <c r="H163" s="155"/>
      <c r="I163" s="155"/>
      <c r="J163" s="155"/>
      <c r="K163" s="128">
        <v>2665.8305620537099</v>
      </c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</row>
    <row r="164" spans="1:22" ht="14.4">
      <c r="A164" s="132" t="s">
        <v>212</v>
      </c>
      <c r="B164" s="128"/>
      <c r="C164" s="155"/>
      <c r="D164" s="155"/>
      <c r="E164" s="155"/>
      <c r="F164" s="155"/>
      <c r="G164" s="155"/>
      <c r="H164" s="155"/>
      <c r="I164" s="155"/>
      <c r="J164" s="155"/>
      <c r="K164" s="128">
        <v>185.44597201318413</v>
      </c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</row>
    <row r="165" spans="1:22" ht="14.4">
      <c r="A165" s="129" t="s">
        <v>214</v>
      </c>
      <c r="B165" s="128"/>
      <c r="C165" s="155"/>
      <c r="D165" s="155"/>
      <c r="E165" s="155"/>
      <c r="F165" s="155"/>
      <c r="G165" s="155"/>
      <c r="H165" s="155"/>
      <c r="I165" s="155"/>
      <c r="J165" s="155"/>
      <c r="K165" s="128">
        <v>75.6750327969051</v>
      </c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</row>
    <row r="166" spans="1:22" ht="14.4">
      <c r="A166" s="129" t="s">
        <v>215</v>
      </c>
      <c r="B166" s="130"/>
      <c r="C166" s="155"/>
      <c r="D166" s="155"/>
      <c r="E166" s="155"/>
      <c r="F166" s="155"/>
      <c r="G166" s="155"/>
      <c r="H166" s="155"/>
      <c r="I166" s="155"/>
      <c r="J166" s="155"/>
      <c r="K166" s="130">
        <v>0</v>
      </c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</row>
    <row r="167" spans="1:22" ht="14.4">
      <c r="A167" s="134" t="s">
        <v>217</v>
      </c>
      <c r="B167" s="135"/>
      <c r="C167" s="155"/>
      <c r="D167" s="155"/>
      <c r="E167" s="155"/>
      <c r="F167" s="155"/>
      <c r="G167" s="155"/>
      <c r="H167" s="155"/>
      <c r="I167" s="155"/>
      <c r="J167" s="155"/>
      <c r="K167" s="135">
        <v>16917.330943327237</v>
      </c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</row>
    <row r="168" spans="1:22" ht="14.4">
      <c r="A168" s="136" t="s">
        <v>219</v>
      </c>
      <c r="B168" s="128"/>
      <c r="C168" s="155"/>
      <c r="D168" s="155"/>
      <c r="E168" s="155"/>
      <c r="F168" s="155"/>
      <c r="G168" s="155"/>
      <c r="H168" s="155"/>
      <c r="I168" s="155"/>
      <c r="J168" s="155"/>
      <c r="K168" s="128">
        <v>6660.0517582020475</v>
      </c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</row>
    <row r="169" spans="1:22" ht="14.4">
      <c r="A169" s="127" t="s">
        <v>220</v>
      </c>
      <c r="B169" s="130"/>
      <c r="C169" s="155"/>
      <c r="D169" s="155"/>
      <c r="E169" s="155"/>
      <c r="F169" s="155"/>
      <c r="G169" s="155"/>
      <c r="H169" s="155"/>
      <c r="I169" s="155"/>
      <c r="J169" s="155"/>
      <c r="K169" s="130">
        <v>5486.9068051513486</v>
      </c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</row>
    <row r="170" spans="1:22" ht="14.4">
      <c r="A170" s="127" t="s">
        <v>201</v>
      </c>
      <c r="B170" s="130"/>
      <c r="C170" s="155"/>
      <c r="D170" s="155"/>
      <c r="E170" s="155"/>
      <c r="F170" s="155"/>
      <c r="G170" s="155"/>
      <c r="H170" s="155"/>
      <c r="I170" s="155"/>
      <c r="J170" s="155"/>
      <c r="K170" s="130">
        <v>1173.1449530506991</v>
      </c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</row>
    <row r="171" spans="1:22" ht="14.4">
      <c r="A171" s="127" t="s">
        <v>221</v>
      </c>
      <c r="B171" s="130"/>
      <c r="C171" s="155"/>
      <c r="D171" s="155"/>
      <c r="E171" s="155"/>
      <c r="F171" s="155"/>
      <c r="G171" s="155"/>
      <c r="H171" s="155"/>
      <c r="I171" s="155"/>
      <c r="J171" s="155"/>
      <c r="K171" s="130">
        <v>0</v>
      </c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</row>
    <row r="172" spans="1:22" ht="14.4">
      <c r="A172" s="134" t="s">
        <v>2</v>
      </c>
      <c r="B172" s="135"/>
      <c r="C172" s="155"/>
      <c r="D172" s="155"/>
      <c r="E172" s="155"/>
      <c r="F172" s="155"/>
      <c r="G172" s="155"/>
      <c r="H172" s="155"/>
      <c r="I172" s="155"/>
      <c r="J172" s="155"/>
      <c r="K172" s="135">
        <v>10257.27918512519</v>
      </c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</row>
    <row r="173" spans="1:22" ht="14.4">
      <c r="A173" s="137" t="s">
        <v>4</v>
      </c>
      <c r="B173" s="138"/>
      <c r="C173" s="155"/>
      <c r="D173" s="155"/>
      <c r="E173" s="155"/>
      <c r="F173" s="155"/>
      <c r="G173" s="155"/>
      <c r="H173" s="155"/>
      <c r="I173" s="155"/>
      <c r="J173" s="155"/>
      <c r="K173" s="138">
        <v>0.59568235249464341</v>
      </c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</row>
    <row r="174" spans="1:22" ht="14.4">
      <c r="A174" s="137"/>
      <c r="B174" s="139"/>
      <c r="C174" s="155"/>
      <c r="D174" s="155"/>
      <c r="E174" s="155"/>
      <c r="F174" s="155"/>
      <c r="G174" s="155"/>
      <c r="H174" s="155"/>
      <c r="I174" s="155"/>
      <c r="J174" s="155"/>
      <c r="K174" s="139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</row>
    <row r="175" spans="1:22" ht="14.4">
      <c r="A175" s="140" t="s">
        <v>51</v>
      </c>
      <c r="B175" s="128"/>
      <c r="C175" s="155"/>
      <c r="D175" s="155"/>
      <c r="E175" s="155"/>
      <c r="F175" s="155"/>
      <c r="G175" s="155"/>
      <c r="H175" s="155"/>
      <c r="I175" s="155"/>
      <c r="J175" s="155"/>
      <c r="K175" s="128">
        <v>10552.775973267757</v>
      </c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</row>
    <row r="176" spans="1:22" ht="14.4">
      <c r="A176" s="141" t="s">
        <v>222</v>
      </c>
      <c r="B176" s="142"/>
      <c r="C176" s="155"/>
      <c r="D176" s="155"/>
      <c r="E176" s="155"/>
      <c r="F176" s="155"/>
      <c r="G176" s="155"/>
      <c r="H176" s="155"/>
      <c r="I176" s="155"/>
      <c r="J176" s="155"/>
      <c r="K176" s="142">
        <v>5708.2018461197977</v>
      </c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</row>
    <row r="177" spans="1:17" ht="14.4">
      <c r="A177" s="141" t="s">
        <v>223</v>
      </c>
      <c r="B177" s="128"/>
      <c r="C177" s="155"/>
      <c r="D177" s="155"/>
      <c r="E177" s="155"/>
      <c r="F177" s="155"/>
      <c r="G177" s="155"/>
      <c r="H177" s="155"/>
      <c r="I177" s="155"/>
      <c r="J177" s="155"/>
      <c r="K177" s="128">
        <v>4844.5741271479592</v>
      </c>
      <c r="Q177" s="110"/>
    </row>
    <row r="178" spans="1:17" ht="14.4">
      <c r="A178" s="140" t="s">
        <v>224</v>
      </c>
      <c r="B178" s="128"/>
      <c r="C178" s="155"/>
      <c r="D178" s="155"/>
      <c r="E178" s="155"/>
      <c r="F178" s="155"/>
      <c r="G178" s="155"/>
      <c r="H178" s="155"/>
      <c r="I178" s="155"/>
      <c r="J178" s="155"/>
      <c r="K178" s="128">
        <v>2530.7577717723161</v>
      </c>
      <c r="Q178" s="110"/>
    </row>
    <row r="179" spans="1:17" ht="14.4">
      <c r="A179" s="126" t="s">
        <v>224</v>
      </c>
      <c r="B179" s="128"/>
      <c r="C179" s="155"/>
      <c r="D179" s="155"/>
      <c r="E179" s="155"/>
      <c r="F179" s="155"/>
      <c r="G179" s="155"/>
      <c r="H179" s="155"/>
      <c r="I179" s="155"/>
      <c r="J179" s="155"/>
      <c r="K179" s="128">
        <v>1973.1285357426675</v>
      </c>
      <c r="Q179" s="110"/>
    </row>
    <row r="180" spans="1:17" ht="14.4">
      <c r="A180" s="126" t="s">
        <v>3</v>
      </c>
      <c r="B180" s="143"/>
      <c r="C180" s="155"/>
      <c r="D180" s="155"/>
      <c r="E180" s="155"/>
      <c r="F180" s="155"/>
      <c r="G180" s="155"/>
      <c r="H180" s="155"/>
      <c r="I180" s="155"/>
      <c r="J180" s="155"/>
      <c r="K180" s="143">
        <v>201.02146102964883</v>
      </c>
      <c r="Q180" s="110"/>
    </row>
    <row r="181" spans="1:17" ht="14.4">
      <c r="A181" s="126" t="s">
        <v>225</v>
      </c>
      <c r="B181" s="144"/>
      <c r="C181" s="155"/>
      <c r="D181" s="155"/>
      <c r="E181" s="155"/>
      <c r="F181" s="155"/>
      <c r="G181" s="155"/>
      <c r="H181" s="155"/>
      <c r="I181" s="155"/>
      <c r="J181" s="155"/>
      <c r="K181" s="144">
        <v>356.607775</v>
      </c>
      <c r="Q181" s="110"/>
    </row>
    <row r="182" spans="1:17" ht="14.4">
      <c r="A182" s="140" t="s">
        <v>226</v>
      </c>
      <c r="B182" s="128"/>
      <c r="C182" s="155"/>
      <c r="D182" s="155"/>
      <c r="E182" s="155"/>
      <c r="F182" s="155"/>
      <c r="G182" s="155"/>
      <c r="H182" s="155"/>
      <c r="I182" s="155"/>
      <c r="J182" s="155"/>
      <c r="K182" s="128">
        <v>-218.33333333333334</v>
      </c>
      <c r="Q182" s="110"/>
    </row>
    <row r="183" spans="1:17" ht="14.4">
      <c r="A183" s="126" t="s">
        <v>227</v>
      </c>
      <c r="B183" s="144"/>
      <c r="C183" s="155"/>
      <c r="D183" s="155"/>
      <c r="E183" s="155"/>
      <c r="F183" s="155"/>
      <c r="G183" s="155"/>
      <c r="H183" s="155"/>
      <c r="I183" s="155"/>
      <c r="J183" s="155"/>
      <c r="K183" s="144">
        <v>40</v>
      </c>
      <c r="Q183" s="110"/>
    </row>
    <row r="184" spans="1:17" ht="14.4">
      <c r="A184" s="126" t="s">
        <v>228</v>
      </c>
      <c r="B184" s="143"/>
      <c r="C184" s="155"/>
      <c r="D184" s="155"/>
      <c r="E184" s="155"/>
      <c r="F184" s="155"/>
      <c r="G184" s="155"/>
      <c r="H184" s="155"/>
      <c r="I184" s="155"/>
      <c r="J184" s="155"/>
      <c r="K184" s="143">
        <v>250</v>
      </c>
      <c r="Q184" s="110"/>
    </row>
    <row r="185" spans="1:17" ht="14.4">
      <c r="A185" s="141" t="s">
        <v>229</v>
      </c>
      <c r="B185" s="130"/>
      <c r="C185" s="155"/>
      <c r="D185" s="155"/>
      <c r="E185" s="155"/>
      <c r="F185" s="155"/>
      <c r="G185" s="155"/>
      <c r="H185" s="155"/>
      <c r="I185" s="155"/>
      <c r="J185" s="155"/>
      <c r="K185" s="130">
        <v>-8.3333333333333339</v>
      </c>
      <c r="Q185" s="110"/>
    </row>
    <row r="186" spans="1:17" ht="14.4">
      <c r="A186" s="126" t="s">
        <v>230</v>
      </c>
      <c r="B186" s="145"/>
      <c r="C186" s="155"/>
      <c r="D186" s="155"/>
      <c r="E186" s="155"/>
      <c r="F186" s="155"/>
      <c r="G186" s="155"/>
      <c r="H186" s="155"/>
      <c r="I186" s="155"/>
      <c r="J186" s="155"/>
      <c r="K186" s="145">
        <v>0</v>
      </c>
      <c r="Q186" s="110"/>
    </row>
    <row r="187" spans="1:17" ht="14.4">
      <c r="A187" s="140" t="s">
        <v>231</v>
      </c>
      <c r="B187" s="128"/>
      <c r="C187" s="155"/>
      <c r="D187" s="155"/>
      <c r="E187" s="155"/>
      <c r="F187" s="155"/>
      <c r="G187" s="155"/>
      <c r="H187" s="155"/>
      <c r="I187" s="155"/>
      <c r="J187" s="155"/>
      <c r="K187" s="128">
        <v>-1667.3769621482606</v>
      </c>
      <c r="Q187" s="110"/>
    </row>
    <row r="188" spans="1:17" ht="14.4">
      <c r="A188" s="126" t="s">
        <v>232</v>
      </c>
      <c r="B188" s="143"/>
      <c r="C188" s="155"/>
      <c r="D188" s="155"/>
      <c r="E188" s="155"/>
      <c r="F188" s="155"/>
      <c r="G188" s="155"/>
      <c r="H188" s="155"/>
      <c r="I188" s="155"/>
      <c r="J188" s="155"/>
      <c r="K188" s="143">
        <v>140.84719683872652</v>
      </c>
      <c r="Q188" s="110"/>
    </row>
    <row r="189" spans="1:17" ht="14.4">
      <c r="A189" s="126" t="s">
        <v>233</v>
      </c>
      <c r="B189" s="143"/>
      <c r="C189" s="155"/>
      <c r="D189" s="155"/>
      <c r="E189" s="155"/>
      <c r="F189" s="155"/>
      <c r="G189" s="155"/>
      <c r="H189" s="155"/>
      <c r="I189" s="155"/>
      <c r="J189" s="155"/>
      <c r="K189" s="143">
        <v>-666.72890933849135</v>
      </c>
      <c r="Q189" s="110"/>
    </row>
    <row r="190" spans="1:17" ht="14.4">
      <c r="A190" s="141" t="s">
        <v>234</v>
      </c>
      <c r="B190" s="143"/>
      <c r="C190" s="155"/>
      <c r="D190" s="155"/>
      <c r="E190" s="155"/>
      <c r="F190" s="155"/>
      <c r="G190" s="155"/>
      <c r="H190" s="155"/>
      <c r="I190" s="155"/>
      <c r="J190" s="155"/>
      <c r="K190" s="143">
        <v>-1141.4952496484957</v>
      </c>
      <c r="Q190" s="110"/>
    </row>
    <row r="191" spans="1:17" ht="14.4">
      <c r="A191" s="140" t="s">
        <v>235</v>
      </c>
      <c r="B191" s="130"/>
      <c r="C191" s="155"/>
      <c r="D191" s="155"/>
      <c r="E191" s="155"/>
      <c r="F191" s="155"/>
      <c r="G191" s="155"/>
      <c r="H191" s="155"/>
      <c r="I191" s="155"/>
      <c r="J191" s="155"/>
      <c r="K191" s="130">
        <v>-796.97317125585778</v>
      </c>
      <c r="Q191" s="110"/>
    </row>
    <row r="192" spans="1:17" ht="14.4">
      <c r="A192" s="140" t="s">
        <v>236</v>
      </c>
      <c r="B192" s="130"/>
      <c r="C192" s="155"/>
      <c r="D192" s="155"/>
      <c r="E192" s="155"/>
      <c r="F192" s="155"/>
      <c r="G192" s="155"/>
      <c r="H192" s="155"/>
      <c r="I192" s="155"/>
      <c r="J192" s="155"/>
      <c r="K192" s="130">
        <v>-2348.0360527856596</v>
      </c>
      <c r="Q192" s="110"/>
    </row>
    <row r="193" spans="1:17" ht="14.4">
      <c r="A193" s="140" t="s">
        <v>237</v>
      </c>
      <c r="B193" s="146"/>
      <c r="C193" s="155"/>
      <c r="D193" s="155"/>
      <c r="E193" s="155"/>
      <c r="F193" s="155"/>
      <c r="G193" s="155"/>
      <c r="H193" s="155"/>
      <c r="I193" s="155"/>
      <c r="J193" s="155"/>
      <c r="K193" s="146">
        <v>692.39995327335271</v>
      </c>
      <c r="Q193" s="110"/>
    </row>
    <row r="194" spans="1:17" ht="14.4">
      <c r="A194" s="147" t="s">
        <v>238</v>
      </c>
      <c r="B194" s="135"/>
      <c r="C194" s="155"/>
      <c r="D194" s="155"/>
      <c r="E194" s="155"/>
      <c r="F194" s="155"/>
      <c r="G194" s="155"/>
      <c r="H194" s="155"/>
      <c r="I194" s="155"/>
      <c r="J194" s="155"/>
      <c r="K194" s="135">
        <v>1075.3983396682083</v>
      </c>
      <c r="Q194" s="110"/>
    </row>
    <row r="195" spans="1:17" ht="14.4">
      <c r="A195" s="148" t="s">
        <v>7</v>
      </c>
      <c r="B195" s="149"/>
      <c r="C195" s="155"/>
      <c r="D195" s="155"/>
      <c r="E195" s="155"/>
      <c r="F195" s="155"/>
      <c r="G195" s="155"/>
      <c r="H195" s="155"/>
      <c r="I195" s="155"/>
      <c r="J195" s="155"/>
      <c r="K195" s="149">
        <v>6.3567849046092084E-2</v>
      </c>
      <c r="Q195" s="110"/>
    </row>
    <row r="196" spans="1:17" ht="15" thickBot="1">
      <c r="A196" s="148"/>
      <c r="B196" s="139"/>
      <c r="C196" s="155"/>
      <c r="D196" s="155"/>
      <c r="E196" s="155"/>
      <c r="F196" s="155"/>
      <c r="G196" s="155"/>
      <c r="H196" s="155"/>
      <c r="I196" s="155"/>
      <c r="J196" s="155"/>
      <c r="K196" s="139"/>
      <c r="Q196" s="110"/>
    </row>
    <row r="197" spans="1:17" ht="14.4">
      <c r="A197" s="150" t="s">
        <v>239</v>
      </c>
      <c r="B197" s="151"/>
      <c r="C197" s="155"/>
      <c r="D197" s="155"/>
      <c r="E197" s="155"/>
      <c r="F197" s="155"/>
      <c r="G197" s="155"/>
      <c r="H197" s="155"/>
      <c r="I197" s="155"/>
      <c r="J197" s="155"/>
      <c r="K197" s="151"/>
      <c r="Q197" s="110"/>
    </row>
    <row r="198" spans="1:17" ht="14.4">
      <c r="A198" s="141" t="s">
        <v>240</v>
      </c>
      <c r="B198" s="130"/>
      <c r="C198" s="155"/>
      <c r="D198" s="155"/>
      <c r="E198" s="155"/>
      <c r="F198" s="155"/>
      <c r="G198" s="155"/>
      <c r="H198" s="155"/>
      <c r="I198" s="155"/>
      <c r="J198" s="155"/>
      <c r="K198" s="130">
        <v>927.06666666666672</v>
      </c>
      <c r="Q198" s="110"/>
    </row>
    <row r="199" spans="1:17" ht="14.4">
      <c r="A199" s="141" t="s">
        <v>241</v>
      </c>
      <c r="B199" s="130"/>
      <c r="C199" s="155"/>
      <c r="D199" s="155"/>
      <c r="E199" s="155"/>
      <c r="F199" s="155"/>
      <c r="G199" s="155"/>
      <c r="H199" s="155"/>
      <c r="I199" s="155"/>
      <c r="J199" s="155"/>
      <c r="K199" s="130">
        <v>0</v>
      </c>
      <c r="Q199" s="110"/>
    </row>
    <row r="200" spans="1:17" ht="14.4">
      <c r="A200" s="141" t="s">
        <v>242</v>
      </c>
      <c r="B200" s="152"/>
      <c r="C200" s="155"/>
      <c r="D200" s="155"/>
      <c r="E200" s="155"/>
      <c r="F200" s="155"/>
      <c r="G200" s="155"/>
      <c r="H200" s="155"/>
      <c r="I200" s="155"/>
      <c r="J200" s="155"/>
      <c r="K200" s="152">
        <v>0</v>
      </c>
      <c r="Q200" s="110"/>
    </row>
    <row r="201" spans="1:17" ht="14.4">
      <c r="A201" s="147" t="s">
        <v>243</v>
      </c>
      <c r="B201" s="135"/>
      <c r="C201" s="155"/>
      <c r="D201" s="155"/>
      <c r="E201" s="155"/>
      <c r="F201" s="155"/>
      <c r="G201" s="155"/>
      <c r="H201" s="155"/>
      <c r="I201" s="155"/>
      <c r="J201" s="155"/>
      <c r="K201" s="135">
        <v>2002.4650063348749</v>
      </c>
      <c r="Q201" s="110"/>
    </row>
    <row r="202" spans="1:17" ht="14.4">
      <c r="A202" s="153" t="s">
        <v>6</v>
      </c>
      <c r="B202" s="149"/>
      <c r="C202" s="155"/>
      <c r="D202" s="155"/>
      <c r="E202" s="155"/>
      <c r="F202" s="155"/>
      <c r="G202" s="155"/>
      <c r="H202" s="155"/>
      <c r="I202" s="155"/>
      <c r="J202" s="155"/>
      <c r="K202" s="149">
        <v>0.11836766763286111</v>
      </c>
      <c r="Q202" s="110"/>
    </row>
    <row r="203" spans="1:17" ht="14.4">
      <c r="A203" s="154"/>
      <c r="B203" s="139"/>
      <c r="C203" s="155"/>
      <c r="D203" s="155"/>
      <c r="E203" s="155"/>
      <c r="F203" s="155"/>
      <c r="G203" s="155"/>
      <c r="H203" s="155"/>
      <c r="I203" s="155"/>
      <c r="J203" s="155"/>
      <c r="K203" s="139"/>
      <c r="Q203" s="110"/>
    </row>
    <row r="204" spans="1:17" ht="14.4">
      <c r="A204" s="141" t="s">
        <v>244</v>
      </c>
      <c r="B204" s="130"/>
      <c r="C204" s="155"/>
      <c r="D204" s="155"/>
      <c r="E204" s="155"/>
      <c r="F204" s="155"/>
      <c r="G204" s="155"/>
      <c r="H204" s="155"/>
      <c r="I204" s="155"/>
      <c r="J204" s="155"/>
      <c r="K204" s="130">
        <v>496.91821947521396</v>
      </c>
      <c r="Q204" s="110"/>
    </row>
    <row r="205" spans="1:17" ht="14.4">
      <c r="A205" s="141" t="s">
        <v>245</v>
      </c>
      <c r="B205" s="130"/>
      <c r="C205" s="155"/>
      <c r="D205" s="155"/>
      <c r="E205" s="155"/>
      <c r="F205" s="155"/>
      <c r="G205" s="155"/>
      <c r="H205" s="155"/>
      <c r="I205" s="155"/>
      <c r="J205" s="155"/>
      <c r="K205" s="130"/>
      <c r="Q205" s="110"/>
    </row>
    <row r="206" spans="1:17" ht="14.4">
      <c r="A206" s="141" t="s">
        <v>246</v>
      </c>
      <c r="B206" s="130"/>
      <c r="C206" s="155"/>
      <c r="D206" s="155"/>
      <c r="E206" s="155"/>
      <c r="F206" s="155"/>
      <c r="G206" s="155"/>
      <c r="H206" s="155"/>
      <c r="I206" s="155"/>
      <c r="J206" s="155"/>
      <c r="K206" s="130">
        <v>-1667.3769621482606</v>
      </c>
      <c r="Q206" s="110"/>
    </row>
    <row r="207" spans="1:17" ht="14.4">
      <c r="A207" s="141" t="s">
        <v>247</v>
      </c>
      <c r="B207" s="130"/>
      <c r="C207" s="155"/>
      <c r="D207" s="155"/>
      <c r="E207" s="155"/>
      <c r="F207" s="155"/>
      <c r="G207" s="155"/>
      <c r="H207" s="155"/>
      <c r="I207" s="155"/>
      <c r="J207" s="155"/>
      <c r="K207" s="130">
        <v>-796.97317125585778</v>
      </c>
    </row>
    <row r="208" spans="1:17" ht="14.4">
      <c r="A208" s="141" t="s">
        <v>248</v>
      </c>
      <c r="B208" s="130"/>
      <c r="C208" s="155"/>
      <c r="D208" s="155"/>
      <c r="E208" s="155"/>
      <c r="F208" s="155"/>
      <c r="G208" s="155"/>
      <c r="H208" s="155"/>
      <c r="I208" s="155"/>
      <c r="J208" s="155"/>
      <c r="K208" s="130">
        <v>-2348.0360527856596</v>
      </c>
    </row>
    <row r="209" spans="1:22" ht="14.4">
      <c r="A209" s="141" t="s">
        <v>249</v>
      </c>
      <c r="B209" s="130"/>
      <c r="C209" s="155"/>
      <c r="D209" s="155"/>
      <c r="E209" s="155"/>
      <c r="F209" s="155"/>
      <c r="G209" s="155"/>
      <c r="H209" s="155"/>
      <c r="I209" s="155"/>
      <c r="J209" s="155"/>
      <c r="K209" s="130">
        <v>-234.66671339331401</v>
      </c>
    </row>
    <row r="210" spans="1:22" ht="14.4">
      <c r="A210" s="147" t="s">
        <v>250</v>
      </c>
      <c r="B210" s="135"/>
      <c r="C210" s="155"/>
      <c r="D210" s="155"/>
      <c r="E210" s="155"/>
      <c r="F210" s="155"/>
      <c r="G210" s="155"/>
      <c r="H210" s="155"/>
      <c r="I210" s="155"/>
      <c r="J210" s="155"/>
      <c r="K210" s="135">
        <v>-2547.669673773004</v>
      </c>
    </row>
    <row r="211" spans="1:22" ht="14.4">
      <c r="A211" s="153" t="s">
        <v>5</v>
      </c>
      <c r="B211" s="149"/>
      <c r="C211" s="155"/>
      <c r="D211" s="155"/>
      <c r="E211" s="155"/>
      <c r="F211" s="155"/>
      <c r="G211" s="155"/>
      <c r="H211" s="155"/>
      <c r="I211" s="155"/>
      <c r="J211" s="155"/>
      <c r="K211" s="149">
        <v>-0.15059524946976877</v>
      </c>
      <c r="T211" s="112"/>
    </row>
    <row r="212" spans="1:22" ht="14.4">
      <c r="A212" s="154"/>
      <c r="B212" s="139"/>
      <c r="C212" s="155"/>
      <c r="D212" s="155"/>
      <c r="E212" s="155"/>
      <c r="F212" s="155"/>
      <c r="G212" s="155"/>
      <c r="H212" s="155"/>
      <c r="I212" s="155"/>
      <c r="J212" s="155"/>
      <c r="K212" s="139"/>
      <c r="T212" s="112"/>
      <c r="U212" s="112"/>
      <c r="V212" s="112"/>
    </row>
    <row r="213" spans="1:22" ht="14.4">
      <c r="A213" s="141" t="s">
        <v>251</v>
      </c>
      <c r="B213" s="130"/>
      <c r="C213" s="155"/>
      <c r="D213" s="155"/>
      <c r="E213" s="155"/>
      <c r="F213" s="155"/>
      <c r="G213" s="155"/>
      <c r="H213" s="155"/>
      <c r="I213" s="155"/>
      <c r="J213" s="155"/>
      <c r="K213" s="130">
        <v>1141.4952496484957</v>
      </c>
      <c r="T213" s="112"/>
      <c r="U213" s="109"/>
      <c r="V213" s="109"/>
    </row>
    <row r="214" spans="1:22" ht="14.4">
      <c r="A214" s="141" t="s">
        <v>252</v>
      </c>
      <c r="B214" s="130"/>
      <c r="C214" s="155"/>
      <c r="D214" s="155"/>
      <c r="E214" s="155"/>
      <c r="F214" s="155"/>
      <c r="G214" s="155"/>
      <c r="H214" s="155"/>
      <c r="I214" s="155"/>
      <c r="J214" s="155"/>
      <c r="K214" s="130">
        <v>-690.19621586268818</v>
      </c>
      <c r="T214" s="112"/>
      <c r="U214" s="109"/>
      <c r="V214" s="109"/>
    </row>
    <row r="215" spans="1:22" ht="14.4">
      <c r="A215" s="147" t="s">
        <v>253</v>
      </c>
      <c r="B215" s="135"/>
      <c r="C215" s="155"/>
      <c r="D215" s="155"/>
      <c r="E215" s="155"/>
      <c r="F215" s="155"/>
      <c r="G215" s="155"/>
      <c r="H215" s="155"/>
      <c r="I215" s="155"/>
      <c r="J215" s="155"/>
      <c r="K215" s="135">
        <v>-2096.3706399871962</v>
      </c>
      <c r="T215" s="112"/>
      <c r="U215" s="109"/>
      <c r="V215" s="109"/>
    </row>
    <row r="216" spans="1:22" ht="14.4">
      <c r="A216" s="153" t="s">
        <v>254</v>
      </c>
      <c r="B216" s="149"/>
      <c r="C216" s="155"/>
      <c r="D216" s="155"/>
      <c r="E216" s="155"/>
      <c r="F216" s="155"/>
      <c r="G216" s="155"/>
      <c r="H216" s="155"/>
      <c r="I216" s="155"/>
      <c r="J216" s="155"/>
      <c r="K216" s="149">
        <v>-0.12391852160426495</v>
      </c>
      <c r="T216" s="112"/>
      <c r="U216" s="109"/>
      <c r="V216" s="109"/>
    </row>
    <row r="217" spans="1:22" ht="14.4">
      <c r="A217" s="129" t="s">
        <v>206</v>
      </c>
      <c r="B217" s="130"/>
      <c r="K217" s="130">
        <v>0</v>
      </c>
      <c r="T217" s="112" t="s">
        <v>207</v>
      </c>
      <c r="U217" s="109">
        <f>U213-U214+U215+U216</f>
        <v>0</v>
      </c>
      <c r="V217" s="109">
        <f>V213-V214+V215+V216</f>
        <v>0</v>
      </c>
    </row>
    <row r="218" spans="1:22" ht="14.4">
      <c r="A218" s="129" t="s">
        <v>208</v>
      </c>
      <c r="B218" s="130"/>
      <c r="K218" s="130">
        <v>0</v>
      </c>
    </row>
    <row r="219" spans="1:22" ht="14.4">
      <c r="A219" s="131" t="s">
        <v>209</v>
      </c>
      <c r="B219" s="130"/>
      <c r="K219" s="130">
        <f>SUM(K220:K221,K223)-K222</f>
        <v>2775.6015012699886</v>
      </c>
      <c r="T219" s="112" t="s">
        <v>210</v>
      </c>
      <c r="U219" s="110">
        <f>(C53+C65+J53)-C9</f>
        <v>176126</v>
      </c>
      <c r="V219" s="110">
        <f>(L53+L65)-L9</f>
        <v>171271</v>
      </c>
    </row>
    <row r="220" spans="1:22" ht="14.4">
      <c r="A220" s="132" t="s">
        <v>211</v>
      </c>
      <c r="B220" s="128"/>
      <c r="K220" s="128">
        <v>2665.8305620537099</v>
      </c>
    </row>
    <row r="221" spans="1:22" ht="14.4">
      <c r="A221" s="132" t="s">
        <v>212</v>
      </c>
      <c r="B221" s="128"/>
      <c r="K221" s="128">
        <v>185.44597201318413</v>
      </c>
      <c r="T221" s="112" t="s">
        <v>213</v>
      </c>
      <c r="U221" s="133" t="e">
        <f>U219/U217</f>
        <v>#DIV/0!</v>
      </c>
      <c r="V221" s="133" t="e">
        <f>V219/V217</f>
        <v>#DIV/0!</v>
      </c>
    </row>
    <row r="222" spans="1:22" ht="14.4">
      <c r="A222" s="129" t="s">
        <v>214</v>
      </c>
      <c r="B222" s="128"/>
      <c r="K222" s="128">
        <v>75.6750327969051</v>
      </c>
      <c r="T222" s="112" t="s">
        <v>213</v>
      </c>
      <c r="U222" s="133">
        <v>3.5</v>
      </c>
      <c r="V222" s="133">
        <v>3.5</v>
      </c>
    </row>
    <row r="223" spans="1:22" ht="14.4">
      <c r="A223" s="129" t="s">
        <v>215</v>
      </c>
      <c r="B223" s="130"/>
      <c r="K223" s="130">
        <v>0</v>
      </c>
      <c r="T223" s="112" t="s">
        <v>216</v>
      </c>
      <c r="U223" s="133" t="e">
        <f>U222-U221</f>
        <v>#DIV/0!</v>
      </c>
      <c r="V223" s="133" t="e">
        <f>V222-V221</f>
        <v>#DIV/0!</v>
      </c>
    </row>
    <row r="224" spans="1:22" ht="14.4">
      <c r="A224" s="134" t="s">
        <v>217</v>
      </c>
      <c r="B224" s="135"/>
      <c r="K224" s="135">
        <f>K211-K219</f>
        <v>-2775.7520965194585</v>
      </c>
      <c r="T224" s="112" t="s">
        <v>218</v>
      </c>
      <c r="U224" s="110">
        <f>U219/U222-U217</f>
        <v>50321.714285714283</v>
      </c>
      <c r="V224" s="110">
        <f>V219/V222-V217</f>
        <v>48934.571428571428</v>
      </c>
    </row>
    <row r="225" spans="1:11" ht="14.4">
      <c r="A225" s="136" t="s">
        <v>219</v>
      </c>
      <c r="B225" s="128"/>
      <c r="K225" s="128">
        <f>SUM(K226:K228)</f>
        <v>6660.0517582020475</v>
      </c>
    </row>
    <row r="226" spans="1:11" ht="14.4">
      <c r="A226" s="127" t="s">
        <v>220</v>
      </c>
      <c r="B226" s="130"/>
      <c r="K226" s="130">
        <v>5486.9068051513486</v>
      </c>
    </row>
    <row r="227" spans="1:11" ht="14.4">
      <c r="A227" s="127" t="s">
        <v>201</v>
      </c>
      <c r="B227" s="130"/>
      <c r="K227" s="130">
        <v>1173.1449530506991</v>
      </c>
    </row>
    <row r="228" spans="1:11" ht="14.4">
      <c r="A228" s="127" t="s">
        <v>221</v>
      </c>
      <c r="B228" s="130"/>
      <c r="K228" s="130">
        <v>0</v>
      </c>
    </row>
    <row r="229" spans="1:11" ht="14.4">
      <c r="A229" s="134" t="s">
        <v>2</v>
      </c>
      <c r="B229" s="135"/>
      <c r="K229" s="135">
        <f>K224-K225</f>
        <v>-9435.8038547215056</v>
      </c>
    </row>
    <row r="230" spans="1:11" ht="14.4">
      <c r="A230" s="137" t="s">
        <v>4</v>
      </c>
      <c r="B230" s="138"/>
      <c r="K230" s="138">
        <v>0.59568235249464341</v>
      </c>
    </row>
    <row r="231" spans="1:11" ht="14.4">
      <c r="A231" s="137"/>
      <c r="B231" s="139"/>
      <c r="K231" s="139"/>
    </row>
    <row r="232" spans="1:11" ht="14.4">
      <c r="A232" s="140" t="s">
        <v>51</v>
      </c>
      <c r="B232" s="128"/>
      <c r="K232" s="128">
        <f>K233+K234</f>
        <v>10552.775973267757</v>
      </c>
    </row>
    <row r="233" spans="1:11" ht="14.4">
      <c r="A233" s="141" t="s">
        <v>222</v>
      </c>
      <c r="B233" s="142"/>
      <c r="K233" s="142">
        <v>5708.2018461197977</v>
      </c>
    </row>
    <row r="234" spans="1:11" ht="14.4">
      <c r="A234" s="141" t="s">
        <v>223</v>
      </c>
      <c r="B234" s="128"/>
      <c r="K234" s="128">
        <v>4844.5741271479592</v>
      </c>
    </row>
    <row r="235" spans="1:11" ht="14.4">
      <c r="A235" s="140" t="s">
        <v>224</v>
      </c>
      <c r="B235" s="128"/>
      <c r="K235" s="128">
        <f>SUM(K236:K238)</f>
        <v>2530.7577717723161</v>
      </c>
    </row>
    <row r="236" spans="1:11" ht="14.4">
      <c r="A236" s="126" t="s">
        <v>224</v>
      </c>
      <c r="B236" s="128"/>
      <c r="K236" s="128">
        <v>1973.1285357426675</v>
      </c>
    </row>
    <row r="237" spans="1:11" ht="14.4">
      <c r="A237" s="126" t="s">
        <v>3</v>
      </c>
      <c r="B237" s="143"/>
      <c r="K237" s="143">
        <v>201.02146102964883</v>
      </c>
    </row>
    <row r="238" spans="1:11" ht="14.4">
      <c r="A238" s="126" t="s">
        <v>225</v>
      </c>
      <c r="B238" s="144"/>
      <c r="K238" s="144">
        <v>356.607775</v>
      </c>
    </row>
    <row r="239" spans="1:11" ht="14.4">
      <c r="A239" s="140" t="s">
        <v>226</v>
      </c>
      <c r="B239" s="128"/>
      <c r="K239" s="128">
        <f>K240-K241+K242-K243</f>
        <v>-218.33333333333334</v>
      </c>
    </row>
    <row r="240" spans="1:11" ht="14.4">
      <c r="A240" s="126" t="s">
        <v>227</v>
      </c>
      <c r="B240" s="144"/>
      <c r="K240" s="144">
        <v>40</v>
      </c>
    </row>
    <row r="241" spans="1:11" ht="14.4">
      <c r="A241" s="126" t="s">
        <v>228</v>
      </c>
      <c r="B241" s="143"/>
      <c r="K241" s="143">
        <v>250</v>
      </c>
    </row>
    <row r="242" spans="1:11" ht="14.4">
      <c r="A242" s="141" t="s">
        <v>229</v>
      </c>
      <c r="B242" s="130"/>
      <c r="K242" s="130">
        <v>-8.3333333333333339</v>
      </c>
    </row>
    <row r="243" spans="1:11" ht="14.4">
      <c r="A243" s="126" t="s">
        <v>230</v>
      </c>
      <c r="B243" s="145"/>
      <c r="K243" s="145">
        <v>0</v>
      </c>
    </row>
    <row r="244" spans="1:11" ht="14.4">
      <c r="A244" s="140" t="s">
        <v>231</v>
      </c>
      <c r="B244" s="128"/>
      <c r="K244" s="128">
        <f>SUM(K245:K247)</f>
        <v>-1667.3769621482606</v>
      </c>
    </row>
    <row r="245" spans="1:11" ht="14.4">
      <c r="A245" s="126" t="s">
        <v>232</v>
      </c>
      <c r="B245" s="143"/>
      <c r="K245" s="143">
        <v>140.84719683872652</v>
      </c>
    </row>
    <row r="246" spans="1:11" ht="14.4">
      <c r="A246" s="126" t="s">
        <v>233</v>
      </c>
      <c r="B246" s="143"/>
      <c r="K246" s="143">
        <v>-666.72890933849135</v>
      </c>
    </row>
    <row r="247" spans="1:11" ht="14.4">
      <c r="A247" s="141" t="s">
        <v>234</v>
      </c>
      <c r="B247" s="143"/>
      <c r="K247" s="143">
        <v>-1141.4952496484957</v>
      </c>
    </row>
    <row r="248" spans="1:11" ht="14.4">
      <c r="A248" s="140" t="s">
        <v>235</v>
      </c>
      <c r="B248" s="130"/>
      <c r="K248" s="130">
        <v>-796.97317125585778</v>
      </c>
    </row>
    <row r="249" spans="1:11" ht="14.4">
      <c r="A249" s="140" t="s">
        <v>236</v>
      </c>
      <c r="B249" s="130"/>
      <c r="K249" s="130">
        <v>-2348.0360527856596</v>
      </c>
    </row>
    <row r="250" spans="1:11" ht="14.4">
      <c r="A250" s="140" t="s">
        <v>237</v>
      </c>
      <c r="B250" s="146"/>
      <c r="K250" s="146">
        <v>692.39995327335271</v>
      </c>
    </row>
    <row r="251" spans="1:11" ht="14.4">
      <c r="A251" s="147" t="s">
        <v>238</v>
      </c>
      <c r="B251" s="135"/>
      <c r="K251" s="135">
        <f>K229-K232-K235+K239-K244-K248-K249-K250</f>
        <v>-18617.684700178488</v>
      </c>
    </row>
    <row r="252" spans="1:11" ht="14.4">
      <c r="A252" s="148" t="s">
        <v>7</v>
      </c>
      <c r="B252" s="149"/>
      <c r="K252" s="149">
        <f>K251/K224</f>
        <v>6.7072577279229568</v>
      </c>
    </row>
    <row r="253" spans="1:11" ht="15" thickBot="1">
      <c r="A253" s="148"/>
      <c r="B253" s="139"/>
      <c r="K253" s="139"/>
    </row>
    <row r="254" spans="1:11" ht="14.4">
      <c r="A254" s="150" t="s">
        <v>239</v>
      </c>
      <c r="B254" s="151"/>
      <c r="K254" s="151"/>
    </row>
    <row r="255" spans="1:11" ht="14.4">
      <c r="A255" s="141" t="s">
        <v>240</v>
      </c>
      <c r="B255" s="130"/>
      <c r="K255" s="130">
        <v>927.06666666666672</v>
      </c>
    </row>
    <row r="256" spans="1:11" ht="14.4">
      <c r="A256" s="141" t="s">
        <v>241</v>
      </c>
      <c r="B256" s="130"/>
      <c r="K256" s="130">
        <v>0</v>
      </c>
    </row>
    <row r="257" spans="1:11" ht="14.4">
      <c r="A257" s="141" t="s">
        <v>242</v>
      </c>
      <c r="B257" s="152"/>
      <c r="K257" s="152">
        <v>0</v>
      </c>
    </row>
    <row r="258" spans="1:11" ht="14.4">
      <c r="A258" s="147" t="s">
        <v>243</v>
      </c>
      <c r="B258" s="135"/>
      <c r="K258" s="135">
        <f>K251+SUM(K255:K257)</f>
        <v>-17690.618033511822</v>
      </c>
    </row>
    <row r="259" spans="1:11" ht="14.4">
      <c r="A259" s="153" t="s">
        <v>6</v>
      </c>
      <c r="B259" s="149"/>
      <c r="K259" s="149">
        <f>K258/K224</f>
        <v>6.3732701690811124</v>
      </c>
    </row>
    <row r="260" spans="1:11" ht="14.4">
      <c r="A260" s="154"/>
      <c r="B260" s="139"/>
      <c r="K260" s="139"/>
    </row>
    <row r="261" spans="1:11" ht="14.4">
      <c r="A261" s="141" t="s">
        <v>244</v>
      </c>
      <c r="B261" s="130"/>
      <c r="K261" s="130">
        <v>496.91821947521396</v>
      </c>
    </row>
    <row r="262" spans="1:11" ht="14.4">
      <c r="A262" s="141" t="s">
        <v>245</v>
      </c>
      <c r="B262" s="130"/>
      <c r="K262" s="130"/>
    </row>
    <row r="263" spans="1:11" ht="14.4">
      <c r="A263" s="141" t="s">
        <v>246</v>
      </c>
      <c r="B263" s="130"/>
      <c r="K263" s="130">
        <f>K244</f>
        <v>-1667.3769621482606</v>
      </c>
    </row>
    <row r="264" spans="1:11" ht="14.4">
      <c r="A264" s="141" t="s">
        <v>247</v>
      </c>
      <c r="B264" s="130"/>
      <c r="K264" s="130">
        <f>K248</f>
        <v>-796.97317125585778</v>
      </c>
    </row>
    <row r="265" spans="1:11" ht="14.4">
      <c r="A265" s="141" t="s">
        <v>248</v>
      </c>
      <c r="B265" s="130"/>
      <c r="K265" s="130">
        <f>K249</f>
        <v>-2348.0360527856596</v>
      </c>
    </row>
    <row r="266" spans="1:11" ht="14.4">
      <c r="A266" s="141" t="s">
        <v>249</v>
      </c>
      <c r="B266" s="130"/>
      <c r="K266" s="130">
        <f>K250-K255</f>
        <v>-234.66671339331401</v>
      </c>
    </row>
    <row r="267" spans="1:11" ht="14.4">
      <c r="A267" s="147" t="s">
        <v>250</v>
      </c>
      <c r="B267" s="135"/>
      <c r="K267" s="135">
        <f>K258+SUM(K261:K266)</f>
        <v>-22240.752713619702</v>
      </c>
    </row>
    <row r="268" spans="1:11" ht="14.4">
      <c r="A268" s="153" t="s">
        <v>5</v>
      </c>
      <c r="B268" s="149"/>
      <c r="K268" s="149">
        <f>K267/K224</f>
        <v>8.0125140647493662</v>
      </c>
    </row>
    <row r="269" spans="1:11" ht="14.4">
      <c r="A269" s="154"/>
      <c r="B269" s="139"/>
      <c r="K269" s="139"/>
    </row>
    <row r="270" spans="1:11" ht="14.4">
      <c r="A270" s="141" t="s">
        <v>251</v>
      </c>
      <c r="B270" s="130"/>
      <c r="K270" s="130">
        <f>-K247</f>
        <v>1141.4952496484957</v>
      </c>
    </row>
    <row r="271" spans="1:11" ht="14.4">
      <c r="A271" s="141" t="s">
        <v>252</v>
      </c>
      <c r="B271" s="130"/>
      <c r="K271" s="130">
        <f>K216+K218-K222+K247</f>
        <v>-1217.2942009670051</v>
      </c>
    </row>
    <row r="272" spans="1:11" ht="14.4">
      <c r="A272" s="147" t="s">
        <v>253</v>
      </c>
      <c r="B272" s="135"/>
      <c r="K272" s="135">
        <f>K267+SUM(K270:K271)</f>
        <v>-22316.551664938212</v>
      </c>
    </row>
    <row r="273" spans="1:11" ht="14.4">
      <c r="A273" s="153" t="s">
        <v>254</v>
      </c>
      <c r="B273" s="149"/>
      <c r="K273" s="149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N57"/>
  <sheetViews>
    <sheetView showGridLines="0" tabSelected="1" zoomScale="90" zoomScaleNormal="90" workbookViewId="0">
      <pane xSplit="2" ySplit="2" topLeftCell="Q3" activePane="bottomRight" state="frozen"/>
      <selection activeCell="AE9" sqref="AE9"/>
      <selection pane="topRight" activeCell="AE9" sqref="AE9"/>
      <selection pane="bottomLeft" activeCell="AE9" sqref="AE9"/>
      <selection pane="bottomRight" activeCell="A3" sqref="A3:A53"/>
    </sheetView>
  </sheetViews>
  <sheetFormatPr defaultColWidth="9.109375" defaultRowHeight="14.4" outlineLevelCol="1"/>
  <cols>
    <col min="1" max="1" width="41.5546875" style="4" bestFit="1" customWidth="1"/>
    <col min="2" max="2" width="14.88671875" style="4" customWidth="1"/>
    <col min="3" max="3" width="11.44140625" style="4" hidden="1" customWidth="1" outlineLevel="1"/>
    <col min="4" max="4" width="10.88671875" style="4" hidden="1" customWidth="1" outlineLevel="1"/>
    <col min="5" max="5" width="11.88671875" style="4" hidden="1" customWidth="1" outlineLevel="1"/>
    <col min="6" max="6" width="11" style="4" hidden="1" customWidth="1" outlineLevel="1"/>
    <col min="7" max="7" width="11.109375" style="4" hidden="1" customWidth="1" outlineLevel="1"/>
    <col min="8" max="8" width="11.44140625" style="4" hidden="1" customWidth="1" outlineLevel="1"/>
    <col min="9" max="10" width="11.109375" style="4" hidden="1" customWidth="1" outlineLevel="1"/>
    <col min="11" max="11" width="11.5546875" style="4" hidden="1" customWidth="1" outlineLevel="1"/>
    <col min="12" max="16" width="11.109375" style="4" hidden="1" customWidth="1" outlineLevel="1"/>
    <col min="17" max="17" width="9.5546875" style="30" customWidth="1" collapsed="1"/>
    <col min="18" max="18" width="10.109375" style="30" customWidth="1"/>
    <col min="19" max="19" width="10.88671875" style="65" customWidth="1"/>
    <col min="20" max="20" width="13" style="65" customWidth="1"/>
    <col min="21" max="21" width="8.88671875" customWidth="1"/>
    <col min="22" max="22" width="9.109375" customWidth="1"/>
    <col min="23" max="23" width="11" style="65" customWidth="1"/>
    <col min="24" max="24" width="10.5546875" style="66" customWidth="1"/>
    <col min="25" max="25" width="8.88671875" hidden="1" customWidth="1"/>
    <col min="26" max="26" width="9.109375" hidden="1" customWidth="1"/>
    <col min="27" max="27" width="11" style="65" hidden="1" customWidth="1"/>
    <col min="28" max="28" width="10.5546875" style="66" hidden="1" customWidth="1"/>
    <col min="29" max="29" width="8.88671875" hidden="1" customWidth="1"/>
    <col min="30" max="30" width="9.109375" hidden="1" customWidth="1"/>
    <col min="31" max="31" width="11" style="65" hidden="1" customWidth="1"/>
    <col min="32" max="32" width="10.5546875" style="66" hidden="1" customWidth="1"/>
    <col min="33" max="33" width="9.5546875" style="66" customWidth="1"/>
    <col min="34" max="34" width="11" style="66" bestFit="1" customWidth="1"/>
    <col min="35" max="35" width="12.88671875" style="65" bestFit="1" customWidth="1"/>
    <col min="36" max="36" width="10.5546875" style="66" customWidth="1"/>
    <col min="38" max="38" width="14.88671875" bestFit="1" customWidth="1"/>
    <col min="40" max="40" width="11.44140625" bestFit="1" customWidth="1"/>
  </cols>
  <sheetData>
    <row r="1" spans="1:40" ht="92.25" customHeight="1" thickBot="1"/>
    <row r="2" spans="1:40" ht="15.75" customHeight="1" thickBot="1">
      <c r="A2" s="323" t="s">
        <v>318</v>
      </c>
      <c r="B2" s="324"/>
      <c r="C2" s="356">
        <v>2011</v>
      </c>
      <c r="D2" s="356">
        <v>2012</v>
      </c>
      <c r="E2" s="356">
        <v>2013</v>
      </c>
      <c r="F2" s="356">
        <v>2014</v>
      </c>
      <c r="G2" s="356">
        <v>2015</v>
      </c>
      <c r="H2" s="356">
        <v>2016</v>
      </c>
      <c r="I2" s="356">
        <v>2017</v>
      </c>
      <c r="J2" s="356">
        <v>2018</v>
      </c>
      <c r="K2" s="356">
        <v>2019</v>
      </c>
      <c r="L2" s="356">
        <v>2020</v>
      </c>
      <c r="M2" s="356">
        <v>2021</v>
      </c>
      <c r="N2" s="356">
        <v>2022</v>
      </c>
      <c r="O2" s="356">
        <v>2023</v>
      </c>
      <c r="P2" s="356">
        <v>2024</v>
      </c>
      <c r="Q2" s="1" t="s">
        <v>424</v>
      </c>
      <c r="R2" s="1" t="s">
        <v>464</v>
      </c>
      <c r="S2" s="86" t="s">
        <v>0</v>
      </c>
      <c r="T2" s="87" t="s">
        <v>1</v>
      </c>
      <c r="U2" s="1" t="s">
        <v>425</v>
      </c>
      <c r="V2" s="1" t="s">
        <v>465</v>
      </c>
      <c r="W2" s="86" t="s">
        <v>0</v>
      </c>
      <c r="X2" s="87" t="s">
        <v>1</v>
      </c>
      <c r="Y2" s="1" t="s">
        <v>426</v>
      </c>
      <c r="Z2" s="1" t="s">
        <v>466</v>
      </c>
      <c r="AA2" s="86" t="s">
        <v>0</v>
      </c>
      <c r="AB2" s="87" t="s">
        <v>1</v>
      </c>
      <c r="AC2" s="1" t="s">
        <v>427</v>
      </c>
      <c r="AD2" s="1" t="s">
        <v>467</v>
      </c>
      <c r="AE2" s="86" t="s">
        <v>0</v>
      </c>
      <c r="AF2" s="87" t="s">
        <v>1</v>
      </c>
      <c r="AG2" s="1">
        <v>2024</v>
      </c>
      <c r="AH2" s="5">
        <v>2025</v>
      </c>
      <c r="AI2" s="86" t="s">
        <v>0</v>
      </c>
      <c r="AJ2" s="87" t="s">
        <v>1</v>
      </c>
    </row>
    <row r="3" spans="1:40" ht="15.75" customHeight="1">
      <c r="A3" s="325" t="s">
        <v>470</v>
      </c>
      <c r="B3" s="309"/>
      <c r="C3" s="357">
        <v>319857</v>
      </c>
      <c r="D3" s="358">
        <v>377133</v>
      </c>
      <c r="E3" s="358">
        <v>522864.00000000006</v>
      </c>
      <c r="F3" s="359">
        <v>501556</v>
      </c>
      <c r="G3" s="359">
        <v>491434</v>
      </c>
      <c r="H3" s="360">
        <v>443621.99999999994</v>
      </c>
      <c r="I3" s="359">
        <v>412361</v>
      </c>
      <c r="J3" s="359">
        <v>363499.73664000002</v>
      </c>
      <c r="K3" s="359">
        <v>378366.44312000007</v>
      </c>
      <c r="L3" s="359">
        <v>285105.17800999974</v>
      </c>
      <c r="M3" s="380">
        <v>350920.30887999985</v>
      </c>
      <c r="N3" s="380">
        <v>400492.21608000016</v>
      </c>
      <c r="O3" s="380">
        <v>395830.8989400001</v>
      </c>
      <c r="P3" s="380">
        <v>464305.99811000022</v>
      </c>
      <c r="Q3" s="22">
        <v>79292.526190000164</v>
      </c>
      <c r="R3" s="23">
        <v>101709.90540000009</v>
      </c>
      <c r="S3" s="55">
        <f>IFERROR(R3/Q3-1,0)</f>
        <v>0.28271742984053216</v>
      </c>
      <c r="T3" s="56">
        <f>R3-Q3</f>
        <v>22417.379209999926</v>
      </c>
      <c r="U3" s="23">
        <v>115372.0721899999</v>
      </c>
      <c r="V3" s="23">
        <v>142959.81141000046</v>
      </c>
      <c r="W3" s="55">
        <f>IFERROR(V3/U3-1,0)</f>
        <v>0.2391197340597977</v>
      </c>
      <c r="X3" s="56">
        <f>V3-U3</f>
        <v>27587.739220000556</v>
      </c>
      <c r="Y3" s="23">
        <v>109698.66213000029</v>
      </c>
      <c r="Z3" s="23"/>
      <c r="AA3" s="55">
        <f>Z3/Y3-1</f>
        <v>-1</v>
      </c>
      <c r="AB3" s="92">
        <f>Z3-Y3</f>
        <v>-109698.66213000029</v>
      </c>
      <c r="AC3" s="23">
        <v>159942.73759999988</v>
      </c>
      <c r="AD3" s="23"/>
      <c r="AE3" s="55">
        <f>AD3/AC3-1</f>
        <v>-1</v>
      </c>
      <c r="AF3" s="92">
        <f>AD3-AC3</f>
        <v>-159942.73759999988</v>
      </c>
      <c r="AG3" s="23">
        <f>Q3+U3</f>
        <v>194664.59838000007</v>
      </c>
      <c r="AH3" s="23">
        <f t="shared" ref="AH3:AH6" si="0">R3+V3+Z3+AD3</f>
        <v>244669.71681000054</v>
      </c>
      <c r="AI3" s="55">
        <f>IFERROR(AH3/AG3-1,0)</f>
        <v>0.25687833764404711</v>
      </c>
      <c r="AJ3" s="92">
        <f>AH3-AG3</f>
        <v>50005.118430000468</v>
      </c>
    </row>
    <row r="4" spans="1:40" ht="15.75" customHeight="1">
      <c r="A4" s="327" t="s">
        <v>471</v>
      </c>
      <c r="B4" s="327"/>
      <c r="C4" s="361">
        <v>-11633</v>
      </c>
      <c r="D4" s="361">
        <v>-9958.2513770875557</v>
      </c>
      <c r="E4" s="361">
        <v>-14437.999999999904</v>
      </c>
      <c r="F4" s="23">
        <v>-17795</v>
      </c>
      <c r="G4" s="23">
        <v>-22046</v>
      </c>
      <c r="H4" s="361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  <c r="Q4" s="23">
        <v>-2770.1835099999603</v>
      </c>
      <c r="R4" s="23">
        <v>-4130.0273100000013</v>
      </c>
      <c r="S4" s="57">
        <f t="shared" ref="S4:S6" si="1">IFERROR(R4/Q4-1,0)</f>
        <v>0.49088581860775737</v>
      </c>
      <c r="T4" s="58">
        <f>R4-Q4</f>
        <v>-1359.843800000041</v>
      </c>
      <c r="U4" s="23">
        <v>-3650.3195100000003</v>
      </c>
      <c r="V4" s="23">
        <v>-6107.9599799999987</v>
      </c>
      <c r="W4" s="57">
        <f t="shared" ref="W4:W6" si="2">IFERROR(V4/U4-1,0)</f>
        <v>0.67326722038093534</v>
      </c>
      <c r="X4" s="58">
        <f>V4-U4</f>
        <v>-2457.6404699999985</v>
      </c>
      <c r="Y4" s="23">
        <v>-3428.5268199999991</v>
      </c>
      <c r="Z4" s="23"/>
      <c r="AA4" s="57">
        <f>Z4/Y4-1</f>
        <v>-1</v>
      </c>
      <c r="AB4" s="91">
        <f>Z4-Y4</f>
        <v>3428.5268199999991</v>
      </c>
      <c r="AC4" s="23">
        <v>-5752.9671100000005</v>
      </c>
      <c r="AD4" s="23"/>
      <c r="AE4" s="57">
        <f>AD4/AC4-1</f>
        <v>-1</v>
      </c>
      <c r="AF4" s="91">
        <f>AD4-AC4</f>
        <v>5752.9671100000005</v>
      </c>
      <c r="AG4" s="23">
        <f t="shared" ref="AG4:AG6" si="3">Q4+U4</f>
        <v>-6420.5030199999601</v>
      </c>
      <c r="AH4" s="23">
        <f t="shared" si="0"/>
        <v>-10237.987290000001</v>
      </c>
      <c r="AI4" s="57">
        <f t="shared" ref="AI4:AI6" si="4">IFERROR(AH4/AG4-1,0)</f>
        <v>0.59457713174630111</v>
      </c>
      <c r="AJ4" s="91">
        <f>AH4-AG4</f>
        <v>-3817.4842700000409</v>
      </c>
    </row>
    <row r="5" spans="1:40" ht="15.75" customHeight="1">
      <c r="A5" s="326" t="s">
        <v>472</v>
      </c>
      <c r="B5" s="327"/>
      <c r="C5" s="360">
        <v>-47935</v>
      </c>
      <c r="D5" s="360">
        <v>-55935.611050000007</v>
      </c>
      <c r="E5" s="360">
        <v>-76839</v>
      </c>
      <c r="F5" s="359">
        <v>-72963</v>
      </c>
      <c r="G5" s="359">
        <v>-75586</v>
      </c>
      <c r="H5" s="360">
        <v>-65951.316800000001</v>
      </c>
      <c r="I5" s="359">
        <v>-61605</v>
      </c>
      <c r="J5" s="359">
        <v>-51514.476329999998</v>
      </c>
      <c r="K5" s="359">
        <v>-55731.880619999996</v>
      </c>
      <c r="L5" s="359">
        <v>-36955.979920000027</v>
      </c>
      <c r="M5" s="359">
        <v>-31144.227900000031</v>
      </c>
      <c r="N5" s="359">
        <v>-35852.520007156549</v>
      </c>
      <c r="O5" s="359">
        <v>-39207.958490926401</v>
      </c>
      <c r="P5" s="359">
        <v>-49932.785479999962</v>
      </c>
      <c r="Q5" s="23">
        <v>-8022.9815700000199</v>
      </c>
      <c r="R5" s="23">
        <v>-11309.893989999911</v>
      </c>
      <c r="S5" s="57">
        <f t="shared" si="1"/>
        <v>0.4096871457726512</v>
      </c>
      <c r="T5" s="91">
        <f>R5-Q5</f>
        <v>-3286.9124199998914</v>
      </c>
      <c r="U5" s="23">
        <v>-12523.08535000001</v>
      </c>
      <c r="V5" s="23">
        <v>-15529.198859999906</v>
      </c>
      <c r="W5" s="57">
        <f t="shared" si="2"/>
        <v>0.24004575757362323</v>
      </c>
      <c r="X5" s="91">
        <f>V5-U5</f>
        <v>-3006.1135099998955</v>
      </c>
      <c r="Y5" s="23">
        <v>-11916.627279999957</v>
      </c>
      <c r="Z5" s="23"/>
      <c r="AA5" s="62">
        <f>Z5/Y5-1</f>
        <v>-1</v>
      </c>
      <c r="AB5" s="91">
        <f>Z5-Y5</f>
        <v>11916.627279999957</v>
      </c>
      <c r="AC5" s="23">
        <v>-17470.091279999975</v>
      </c>
      <c r="AD5" s="23"/>
      <c r="AE5" s="62">
        <f>AD5/AC5-1</f>
        <v>-1</v>
      </c>
      <c r="AF5" s="91">
        <f>AD5-AC5</f>
        <v>17470.091279999975</v>
      </c>
      <c r="AG5" s="23">
        <f t="shared" si="3"/>
        <v>-20546.06692000003</v>
      </c>
      <c r="AH5" s="23">
        <f t="shared" si="0"/>
        <v>-26839.092849999819</v>
      </c>
      <c r="AI5" s="62">
        <f t="shared" si="4"/>
        <v>0.30628859306761069</v>
      </c>
      <c r="AJ5" s="91">
        <f>AH5-AG5</f>
        <v>-6293.0259299997888</v>
      </c>
    </row>
    <row r="6" spans="1:40" ht="15.75" customHeight="1">
      <c r="A6" s="327" t="s">
        <v>473</v>
      </c>
      <c r="B6" s="327"/>
      <c r="C6" s="361">
        <v>1741</v>
      </c>
      <c r="D6" s="362">
        <v>1476</v>
      </c>
      <c r="E6" s="362">
        <v>2108.8207414252761</v>
      </c>
      <c r="F6" s="23">
        <v>2635</v>
      </c>
      <c r="G6" s="23">
        <v>3491</v>
      </c>
      <c r="H6" s="362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  <c r="Q6" s="24">
        <v>267.08910710588816</v>
      </c>
      <c r="R6" s="23">
        <v>410.75303554445202</v>
      </c>
      <c r="S6" s="57">
        <f t="shared" si="1"/>
        <v>0.53788763606000578</v>
      </c>
      <c r="T6" s="91">
        <f>R6-Q6</f>
        <v>143.66392843856386</v>
      </c>
      <c r="U6" s="23">
        <v>357.12938800265817</v>
      </c>
      <c r="V6" s="23">
        <v>590.59385057222562</v>
      </c>
      <c r="W6" s="57">
        <f t="shared" si="2"/>
        <v>0.65372514951872218</v>
      </c>
      <c r="X6" s="91">
        <f>V6-U6</f>
        <v>233.46446256956744</v>
      </c>
      <c r="Y6" s="23">
        <v>330.39832271768512</v>
      </c>
      <c r="Z6" s="23"/>
      <c r="AA6" s="57">
        <f>Z6/Y6-1</f>
        <v>-1</v>
      </c>
      <c r="AB6" s="91">
        <f>Z6-Y6</f>
        <v>-330.39832271768512</v>
      </c>
      <c r="AC6" s="23">
        <v>554.1794448103708</v>
      </c>
      <c r="AD6" s="23"/>
      <c r="AE6" s="57">
        <f>AD6/AC6-1</f>
        <v>-1</v>
      </c>
      <c r="AF6" s="91">
        <f>AD6-AC6</f>
        <v>-554.1794448103708</v>
      </c>
      <c r="AG6" s="23">
        <f t="shared" si="3"/>
        <v>624.21849510854634</v>
      </c>
      <c r="AH6" s="23">
        <f t="shared" si="0"/>
        <v>1001.3468861166776</v>
      </c>
      <c r="AI6" s="57">
        <f t="shared" si="4"/>
        <v>0.60416087309709066</v>
      </c>
      <c r="AJ6" s="91">
        <f>AH6-AG6</f>
        <v>377.1283910081313</v>
      </c>
    </row>
    <row r="7" spans="1:40" ht="15.75" customHeight="1">
      <c r="A7" s="326"/>
      <c r="B7" s="327"/>
      <c r="C7" s="363"/>
      <c r="D7" s="362"/>
      <c r="E7" s="362"/>
      <c r="F7" s="364"/>
      <c r="G7" s="364"/>
      <c r="H7" s="362"/>
      <c r="I7" s="364"/>
      <c r="J7" s="364"/>
      <c r="K7" s="26"/>
      <c r="L7" s="26"/>
      <c r="M7" s="26"/>
      <c r="N7" s="26"/>
      <c r="O7" s="26"/>
      <c r="P7" s="26"/>
      <c r="Q7" s="24"/>
      <c r="R7" s="26"/>
      <c r="S7" s="59"/>
      <c r="T7" s="58"/>
      <c r="U7" s="7"/>
      <c r="V7" s="23"/>
      <c r="W7" s="59"/>
      <c r="X7" s="58"/>
      <c r="Y7" s="7"/>
      <c r="Z7" s="23"/>
      <c r="AA7" s="59"/>
      <c r="AB7" s="58"/>
      <c r="AC7" s="7"/>
      <c r="AD7" s="23"/>
      <c r="AE7" s="59"/>
      <c r="AF7" s="58"/>
      <c r="AG7" s="24"/>
      <c r="AH7" s="24"/>
      <c r="AI7" s="59"/>
      <c r="AJ7" s="58"/>
    </row>
    <row r="8" spans="1:40" ht="15.75" customHeight="1">
      <c r="A8" s="310" t="s">
        <v>474</v>
      </c>
      <c r="B8" s="311"/>
      <c r="C8" s="365">
        <f>SUM(C3:C6)</f>
        <v>262030</v>
      </c>
      <c r="D8" s="365">
        <f t="shared" ref="D8:L8" si="5">SUM(D3:D6)</f>
        <v>312715.13757291244</v>
      </c>
      <c r="E8" s="365">
        <f t="shared" si="5"/>
        <v>433695.82074142544</v>
      </c>
      <c r="F8" s="365">
        <f t="shared" si="5"/>
        <v>413433</v>
      </c>
      <c r="G8" s="365">
        <f t="shared" si="5"/>
        <v>397293</v>
      </c>
      <c r="H8" s="365">
        <f t="shared" si="5"/>
        <v>360872.97414030397</v>
      </c>
      <c r="I8" s="365">
        <f t="shared" si="5"/>
        <v>340076</v>
      </c>
      <c r="J8" s="365">
        <f t="shared" si="5"/>
        <v>305696.17570524517</v>
      </c>
      <c r="K8" s="365">
        <f t="shared" si="5"/>
        <v>316226.27587170707</v>
      </c>
      <c r="L8" s="365">
        <f t="shared" si="5"/>
        <v>244607.38250886771</v>
      </c>
      <c r="M8" s="365">
        <v>314401.67791416938</v>
      </c>
      <c r="N8" s="365">
        <v>351231.17873447796</v>
      </c>
      <c r="O8" s="365">
        <v>342346.79772007267</v>
      </c>
      <c r="P8" s="365">
        <v>400280.01194263692</v>
      </c>
      <c r="Q8" s="8">
        <v>68766.450217106074</v>
      </c>
      <c r="R8" s="8">
        <f>SUM(R3:R6)</f>
        <v>86680.737135544623</v>
      </c>
      <c r="S8" s="60">
        <f>IFERROR(R8/Q8-1,0)</f>
        <v>0.26050911253787912</v>
      </c>
      <c r="T8" s="61">
        <f>R8-Q8</f>
        <v>17914.286918438549</v>
      </c>
      <c r="U8" s="8">
        <v>99555.796718002559</v>
      </c>
      <c r="V8" s="8">
        <v>121913.2464205728</v>
      </c>
      <c r="W8" s="60">
        <f>IFERROR(V8/U8-1,0)</f>
        <v>0.22457205345761011</v>
      </c>
      <c r="X8" s="61">
        <f>V8-U8</f>
        <v>22357.449702570244</v>
      </c>
      <c r="Y8" s="8">
        <v>94683.906352718011</v>
      </c>
      <c r="Z8" s="8"/>
      <c r="AA8" s="60">
        <f>IFERROR(Z8/Y8-1,0)</f>
        <v>-1</v>
      </c>
      <c r="AB8" s="90">
        <f>Z8-Y8</f>
        <v>-94683.906352718011</v>
      </c>
      <c r="AC8" s="8">
        <v>137273.85865481029</v>
      </c>
      <c r="AD8" s="8"/>
      <c r="AE8" s="60">
        <f>IFERROR(AD8/AC8-1,0)</f>
        <v>-1</v>
      </c>
      <c r="AF8" s="90">
        <f>AD8-AC8</f>
        <v>-137273.85865481029</v>
      </c>
      <c r="AG8" s="8">
        <f>SUM(AG3:AG6)</f>
        <v>168322.24693510859</v>
      </c>
      <c r="AH8" s="8">
        <f>SUM(AH3:AH6)</f>
        <v>208593.98355611743</v>
      </c>
      <c r="AI8" s="60">
        <f>IFERROR(AH8/AG8-1,0)</f>
        <v>0.2392537965378656</v>
      </c>
      <c r="AJ8" s="90">
        <f>AH8-AG8</f>
        <v>40271.736621008837</v>
      </c>
    </row>
    <row r="9" spans="1:40" ht="15.75" customHeight="1">
      <c r="A9" s="326"/>
      <c r="B9" s="327"/>
      <c r="C9" s="362"/>
      <c r="D9" s="362"/>
      <c r="E9" s="362"/>
      <c r="F9" s="364"/>
      <c r="G9" s="364"/>
      <c r="H9" s="362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  <c r="P9" s="23">
        <v>-181429.78467159776</v>
      </c>
      <c r="Q9" s="24">
        <v>-32255.511874753272</v>
      </c>
      <c r="R9" s="23">
        <v>-40382.507390318206</v>
      </c>
      <c r="S9" s="57"/>
      <c r="T9" s="91"/>
      <c r="U9" s="392">
        <v>-44816.572934528791</v>
      </c>
      <c r="V9" s="23">
        <v>-53984.994090898603</v>
      </c>
      <c r="W9" s="57"/>
      <c r="X9" s="91"/>
      <c r="Y9" s="340">
        <v>-42186.913980994403</v>
      </c>
      <c r="Z9" s="23"/>
      <c r="AA9" s="59"/>
      <c r="AB9" s="58"/>
      <c r="AC9" s="340">
        <v>-62170.78588132131</v>
      </c>
      <c r="AD9" s="23"/>
      <c r="AE9" s="59"/>
      <c r="AF9" s="58">
        <f>AD9-AC9</f>
        <v>62170.78588132131</v>
      </c>
      <c r="AG9" s="23">
        <f t="shared" ref="AG9" si="6">Q9+U9</f>
        <v>-77072.084809282067</v>
      </c>
      <c r="AH9" s="23">
        <f>R9+V9+Z9+AD9</f>
        <v>-94367.501481216808</v>
      </c>
      <c r="AI9" s="59"/>
      <c r="AJ9" s="58"/>
      <c r="AL9" s="399"/>
    </row>
    <row r="10" spans="1:40" ht="15.75" customHeight="1">
      <c r="A10" s="310" t="s">
        <v>475</v>
      </c>
      <c r="B10" s="311"/>
      <c r="C10" s="366">
        <v>166166</v>
      </c>
      <c r="D10" s="366">
        <v>187928</v>
      </c>
      <c r="E10" s="366">
        <v>250774</v>
      </c>
      <c r="F10" s="8">
        <v>229802</v>
      </c>
      <c r="G10" s="8">
        <v>206778</v>
      </c>
      <c r="H10" s="366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v>189380.19772007267</v>
      </c>
      <c r="P10" s="8">
        <v>218850.22727103916</v>
      </c>
      <c r="Q10" s="8">
        <v>36510.938342352805</v>
      </c>
      <c r="R10" s="8">
        <f>R8+R9</f>
        <v>46298.229745226417</v>
      </c>
      <c r="S10" s="60">
        <f>IFERROR(R10/Q10-1,0)</f>
        <v>0.26806463616741194</v>
      </c>
      <c r="T10" s="90">
        <f>R10-Q10</f>
        <v>9787.2914028736122</v>
      </c>
      <c r="U10" s="8">
        <v>54739.223783473768</v>
      </c>
      <c r="V10" s="8">
        <v>67928.2523296742</v>
      </c>
      <c r="W10" s="60">
        <f>IFERROR(V10/U10-1,0)</f>
        <v>0.24094292236168524</v>
      </c>
      <c r="X10" s="90">
        <f>V10-U10</f>
        <v>13189.028546200432</v>
      </c>
      <c r="Y10" s="8">
        <v>52496.992371723609</v>
      </c>
      <c r="Z10" s="8"/>
      <c r="AA10" s="60">
        <f>Z10/Y10-1</f>
        <v>-1</v>
      </c>
      <c r="AB10" s="90">
        <f>Z10-Y10</f>
        <v>-52496.992371723609</v>
      </c>
      <c r="AC10" s="8">
        <v>75103.072773488981</v>
      </c>
      <c r="AD10" s="8"/>
      <c r="AE10" s="60">
        <f>AD10/AC10-1</f>
        <v>-1</v>
      </c>
      <c r="AF10" s="90">
        <f>AD10-AC10</f>
        <v>-75103.072773488981</v>
      </c>
      <c r="AG10" s="8">
        <f>SUM(AG8:AG9)</f>
        <v>91250.162125826522</v>
      </c>
      <c r="AH10" s="8">
        <f>SUM(AH8:AH9)</f>
        <v>114226.48207490062</v>
      </c>
      <c r="AI10" s="60">
        <f>IFERROR(AH10/AG10-1,0)</f>
        <v>0.25179483974386407</v>
      </c>
      <c r="AJ10" s="90">
        <f>AH10-AG10</f>
        <v>22976.319949074095</v>
      </c>
      <c r="AL10" s="399"/>
    </row>
    <row r="11" spans="1:40" ht="15.75" customHeight="1">
      <c r="A11" s="312" t="s">
        <v>476</v>
      </c>
      <c r="B11" s="312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v>0.55318232558706015</v>
      </c>
      <c r="P11" s="9">
        <v>0.54674283187141004</v>
      </c>
      <c r="Q11" s="9">
        <v>0.53094115265630637</v>
      </c>
      <c r="R11" s="9">
        <f t="shared" ref="R11" si="8">R10/R8</f>
        <v>0.53412362740788455</v>
      </c>
      <c r="S11" s="9"/>
      <c r="T11" s="53">
        <f>(R11-Q11)*100</f>
        <v>0.31824747515781793</v>
      </c>
      <c r="U11" s="9">
        <v>0.54983462126796823</v>
      </c>
      <c r="V11" s="9">
        <v>0.55718516505858007</v>
      </c>
      <c r="W11" s="9"/>
      <c r="X11" s="53">
        <f>(V11-U11)*100</f>
        <v>0.73505437906118409</v>
      </c>
      <c r="Y11" s="9">
        <v>0.55444472449373783</v>
      </c>
      <c r="Z11" s="9"/>
      <c r="AA11" s="9"/>
      <c r="AB11" s="53">
        <f>(Z11-Y11)*100</f>
        <v>-55.444472449373784</v>
      </c>
      <c r="AC11" s="9">
        <v>0.54710396800561745</v>
      </c>
      <c r="AD11" s="9"/>
      <c r="AE11" s="9"/>
      <c r="AF11" s="53">
        <f>(AD11-AC11)*100</f>
        <v>-54.710396800561746</v>
      </c>
      <c r="AG11" s="9">
        <f>AG10/AG8</f>
        <v>0.54211587468295375</v>
      </c>
      <c r="AH11" s="9">
        <f>AH10/AH8</f>
        <v>0.54760199756274663</v>
      </c>
      <c r="AI11" s="9"/>
      <c r="AJ11" s="53">
        <f>(AH11-AG11)*100</f>
        <v>0.54861228797928874</v>
      </c>
      <c r="AK11" s="297"/>
      <c r="AL11" s="297"/>
    </row>
    <row r="12" spans="1:40">
      <c r="A12" s="326"/>
      <c r="B12" s="327"/>
      <c r="C12" s="362"/>
      <c r="D12" s="362"/>
      <c r="E12" s="362"/>
      <c r="F12" s="364"/>
      <c r="G12" s="42"/>
      <c r="H12" s="25"/>
      <c r="I12" s="364"/>
      <c r="J12" s="364"/>
      <c r="K12" s="25"/>
      <c r="L12" s="25"/>
      <c r="M12" s="25"/>
      <c r="N12" s="25"/>
      <c r="O12" s="25"/>
      <c r="P12" s="25"/>
      <c r="Q12" s="25"/>
      <c r="R12" s="25"/>
      <c r="S12" s="59"/>
      <c r="T12" s="58"/>
      <c r="U12" s="42"/>
      <c r="V12" s="23"/>
      <c r="W12" s="59"/>
      <c r="X12" s="58"/>
      <c r="Y12" s="42"/>
      <c r="Z12" s="23"/>
      <c r="AA12" s="57"/>
      <c r="AB12" s="58"/>
      <c r="AC12" s="42"/>
      <c r="AD12" s="23"/>
      <c r="AE12" s="57"/>
      <c r="AF12" s="58"/>
      <c r="AG12" s="24"/>
      <c r="AH12" s="24"/>
      <c r="AI12" s="57"/>
      <c r="AJ12" s="58"/>
      <c r="AL12" s="297"/>
      <c r="AN12" s="355"/>
    </row>
    <row r="13" spans="1:40" ht="15.75" customHeight="1">
      <c r="A13" s="310" t="s">
        <v>477</v>
      </c>
      <c r="B13" s="311"/>
      <c r="C13" s="366">
        <v>-69788</v>
      </c>
      <c r="D13" s="366">
        <v>-87861</v>
      </c>
      <c r="E13" s="366">
        <v>-132846</v>
      </c>
      <c r="F13" s="8">
        <v>-118936</v>
      </c>
      <c r="G13" s="8">
        <v>-129581</v>
      </c>
      <c r="H13" s="366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8">
        <v>-21942</v>
      </c>
      <c r="R13" s="8">
        <v>-26835</v>
      </c>
      <c r="S13" s="60">
        <f>IFERROR(R13/Q13-1,0)</f>
        <v>0.22299699207000279</v>
      </c>
      <c r="T13" s="90">
        <f>R13-Q13</f>
        <v>-4893</v>
      </c>
      <c r="U13" s="8">
        <v>-25880</v>
      </c>
      <c r="V13" s="8">
        <f>AH13-R13</f>
        <v>-29347</v>
      </c>
      <c r="W13" s="60">
        <f>IFERROR(V13/U13-1,0)</f>
        <v>0.13396445131375589</v>
      </c>
      <c r="X13" s="90">
        <f>V13-U13</f>
        <v>-3467</v>
      </c>
      <c r="Y13" s="8">
        <v>-27728</v>
      </c>
      <c r="Z13" s="8"/>
      <c r="AA13" s="60">
        <f>Z13/Y13-1</f>
        <v>-1</v>
      </c>
      <c r="AB13" s="90">
        <f>Z13-Y13</f>
        <v>27728</v>
      </c>
      <c r="AC13" s="8">
        <v>-30039.26373000005</v>
      </c>
      <c r="AD13" s="8"/>
      <c r="AE13" s="60">
        <f>AD13/AC13-1</f>
        <v>-1</v>
      </c>
      <c r="AF13" s="90">
        <f>AD13-AC13</f>
        <v>30039.26373000005</v>
      </c>
      <c r="AG13" s="8">
        <f t="shared" ref="AG13:AG14" si="9">Q13+U13</f>
        <v>-47822</v>
      </c>
      <c r="AH13" s="8">
        <v>-56182</v>
      </c>
      <c r="AI13" s="60">
        <f>IFERROR(AH13/AG13-1,0)</f>
        <v>0.17481493873112797</v>
      </c>
      <c r="AJ13" s="90">
        <f>AH13-AG13</f>
        <v>-8360</v>
      </c>
      <c r="AK13" s="297"/>
      <c r="AL13" s="297"/>
      <c r="AM13" s="383"/>
      <c r="AN13" s="382"/>
    </row>
    <row r="14" spans="1:40" ht="15.75" customHeight="1">
      <c r="A14" s="310" t="s">
        <v>478</v>
      </c>
      <c r="B14" s="311"/>
      <c r="C14" s="366"/>
      <c r="D14" s="366"/>
      <c r="E14" s="366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60">
        <f>IFERROR(R14/Q14-1,0)</f>
        <v>0</v>
      </c>
      <c r="T14" s="90"/>
      <c r="U14" s="8">
        <v>0</v>
      </c>
      <c r="V14" s="8">
        <v>0</v>
      </c>
      <c r="W14" s="60">
        <f>IFERROR(V14/U14-1,0)</f>
        <v>0</v>
      </c>
      <c r="X14" s="90"/>
      <c r="Y14" s="8">
        <v>0</v>
      </c>
      <c r="Z14" s="8"/>
      <c r="AA14" s="60" t="e">
        <f>Z14/Y14-1</f>
        <v>#DIV/0!</v>
      </c>
      <c r="AB14" s="90">
        <f>Z14-Y14</f>
        <v>0</v>
      </c>
      <c r="AC14" s="8"/>
      <c r="AD14" s="8"/>
      <c r="AE14" s="60" t="e">
        <f>AD14/AC14-1</f>
        <v>#DIV/0!</v>
      </c>
      <c r="AF14" s="90">
        <f>AD14-AC14</f>
        <v>0</v>
      </c>
      <c r="AG14" s="8">
        <f t="shared" si="9"/>
        <v>0</v>
      </c>
      <c r="AH14" s="8">
        <v>0</v>
      </c>
      <c r="AI14" s="60">
        <f>IFERROR(AH14/AG14-1,0)</f>
        <v>0</v>
      </c>
      <c r="AJ14" s="90"/>
      <c r="AN14" s="355"/>
    </row>
    <row r="15" spans="1:40" ht="15.75" hidden="1" customHeight="1">
      <c r="A15" s="310" t="s">
        <v>479</v>
      </c>
      <c r="B15" s="311"/>
      <c r="C15" s="366"/>
      <c r="D15" s="366"/>
      <c r="E15" s="366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/>
      <c r="R15" s="8"/>
      <c r="S15" s="60"/>
      <c r="T15" s="90"/>
      <c r="U15" s="8"/>
      <c r="V15" s="8"/>
      <c r="W15" s="60"/>
      <c r="X15" s="90"/>
      <c r="Y15" s="8"/>
      <c r="Z15" s="8"/>
      <c r="AA15" s="60"/>
      <c r="AB15" s="90"/>
      <c r="AC15" s="8"/>
      <c r="AD15" s="8"/>
      <c r="AE15" s="60"/>
      <c r="AF15" s="90"/>
      <c r="AG15" s="8">
        <f>0</f>
        <v>0</v>
      </c>
      <c r="AH15" s="8">
        <f>0</f>
        <v>0</v>
      </c>
      <c r="AI15" s="60"/>
      <c r="AJ15" s="90"/>
      <c r="AN15" s="355"/>
    </row>
    <row r="16" spans="1:40">
      <c r="A16" s="313" t="s">
        <v>480</v>
      </c>
      <c r="B16" s="313"/>
      <c r="C16" s="369">
        <v>-0.2663359157348395</v>
      </c>
      <c r="D16" s="369">
        <v>-0.28096177461033334</v>
      </c>
      <c r="E16" s="369">
        <v>-0.30631145989115816</v>
      </c>
      <c r="F16" s="369">
        <v>-0.28767901933324136</v>
      </c>
      <c r="G16" s="369">
        <v>-0.32615978635415172</v>
      </c>
      <c r="H16" s="369">
        <v>0.34386337823057539</v>
      </c>
      <c r="I16" s="369">
        <f>I13/I8</f>
        <v>-0.39013632246909513</v>
      </c>
      <c r="J16" s="369">
        <v>-0.37142106779077982</v>
      </c>
      <c r="K16" s="369">
        <v>-0.34047592695074708</v>
      </c>
      <c r="L16" s="369">
        <v>-0.32003172435784749</v>
      </c>
      <c r="M16" s="369">
        <v>-0.22330987692491522</v>
      </c>
      <c r="N16" s="369">
        <v>-0.23979932619726793</v>
      </c>
      <c r="O16" s="369">
        <v>-0.25886907834454037</v>
      </c>
      <c r="P16" s="369">
        <v>-0.26378849949952476</v>
      </c>
      <c r="Q16" s="10">
        <v>-0.31908001548321585</v>
      </c>
      <c r="R16" s="10">
        <f>SUM(R13:R15)/R8</f>
        <v>-0.30958435388058025</v>
      </c>
      <c r="S16" s="10"/>
      <c r="T16" s="272">
        <f>(R16-Q16)*100</f>
        <v>0.94956616026355967</v>
      </c>
      <c r="U16" s="10">
        <v>-0.25995472743095582</v>
      </c>
      <c r="V16" s="10">
        <f>SUM(V13:V15)/V8</f>
        <v>-0.24072035534809372</v>
      </c>
      <c r="W16" s="10"/>
      <c r="X16" s="272">
        <f>(V16-U16)*100</f>
        <v>1.9234372082862106</v>
      </c>
      <c r="Y16" s="10">
        <v>-0.29284807807471747</v>
      </c>
      <c r="Z16" s="10"/>
      <c r="AA16" s="10"/>
      <c r="AB16" s="272">
        <f>(Z16-Y16)*100</f>
        <v>29.284807807471747</v>
      </c>
      <c r="AC16" s="10">
        <v>-0.21882726998690238</v>
      </c>
      <c r="AD16" s="10"/>
      <c r="AE16" s="10"/>
      <c r="AF16" s="272">
        <f>(AD16-AC16)*100</f>
        <v>21.882726998690238</v>
      </c>
      <c r="AG16" s="10">
        <f>SUM(AG13:AG15)/AG8</f>
        <v>-0.28410980052111762</v>
      </c>
      <c r="AH16" s="10">
        <f>SUM(AH13:AH15)/AH8</f>
        <v>-0.2693366272708701</v>
      </c>
      <c r="AI16" s="10"/>
      <c r="AJ16" s="272">
        <f>(AH16-AG16)*100</f>
        <v>1.4773173250247518</v>
      </c>
      <c r="AN16" s="355"/>
    </row>
    <row r="17" spans="1:40">
      <c r="A17" s="326"/>
      <c r="B17" s="327"/>
      <c r="C17" s="362"/>
      <c r="D17" s="362"/>
      <c r="E17" s="362"/>
      <c r="F17" s="364"/>
      <c r="G17" s="42"/>
      <c r="H17" s="25"/>
      <c r="I17" s="364"/>
      <c r="J17" s="364"/>
      <c r="K17" s="25"/>
      <c r="L17" s="25"/>
      <c r="M17" s="25"/>
      <c r="N17" s="25"/>
      <c r="O17" s="25"/>
      <c r="P17" s="25"/>
      <c r="Q17" s="25"/>
      <c r="R17" s="25"/>
      <c r="S17" s="59"/>
      <c r="T17" s="58"/>
      <c r="U17" s="42"/>
      <c r="V17" s="23"/>
      <c r="W17" s="59"/>
      <c r="X17" s="58"/>
      <c r="Y17" s="42"/>
      <c r="Z17" s="23"/>
      <c r="AA17" s="57"/>
      <c r="AB17" s="58"/>
      <c r="AC17" s="42"/>
      <c r="AD17" s="23"/>
      <c r="AE17" s="57"/>
      <c r="AF17" s="58"/>
      <c r="AG17" s="24"/>
      <c r="AH17" s="23"/>
      <c r="AI17" s="57"/>
      <c r="AJ17" s="58"/>
      <c r="AN17" s="355"/>
    </row>
    <row r="18" spans="1:40">
      <c r="A18" s="310" t="s">
        <v>481</v>
      </c>
      <c r="B18" s="311"/>
      <c r="C18" s="366">
        <v>-24415</v>
      </c>
      <c r="D18" s="366">
        <v>-27788</v>
      </c>
      <c r="E18" s="366">
        <v>-40504</v>
      </c>
      <c r="F18" s="8">
        <v>-33902</v>
      </c>
      <c r="G18" s="8">
        <v>-36416</v>
      </c>
      <c r="H18" s="366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8">
        <v>-9989</v>
      </c>
      <c r="R18" s="8">
        <v>-10112</v>
      </c>
      <c r="S18" s="60">
        <f>IFERROR(R18/Q18-1,0)</f>
        <v>1.2313544899389406E-2</v>
      </c>
      <c r="T18" s="90">
        <f>R18-Q18</f>
        <v>-123</v>
      </c>
      <c r="U18" s="8">
        <v>-10547</v>
      </c>
      <c r="V18" s="8">
        <f>AH18-R18</f>
        <v>-10156</v>
      </c>
      <c r="W18" s="60">
        <f>IFERROR(V18/U18-1,0)</f>
        <v>-3.7072153218924764E-2</v>
      </c>
      <c r="X18" s="90">
        <f>V18-U18</f>
        <v>391</v>
      </c>
      <c r="Y18" s="8">
        <v>-8948</v>
      </c>
      <c r="Z18" s="8"/>
      <c r="AA18" s="60">
        <f>Z18/Y18-1</f>
        <v>-1</v>
      </c>
      <c r="AB18" s="90">
        <f>Z18-Y18</f>
        <v>8948</v>
      </c>
      <c r="AC18" s="8">
        <v>-11008.871306779016</v>
      </c>
      <c r="AD18" s="8"/>
      <c r="AE18" s="60">
        <f>AD18/AC18-1</f>
        <v>-1</v>
      </c>
      <c r="AF18" s="90">
        <f>AD18-AC18</f>
        <v>11008.871306779016</v>
      </c>
      <c r="AG18" s="8">
        <f t="shared" ref="AG18" si="10">Q18+U18</f>
        <v>-20536</v>
      </c>
      <c r="AH18" s="8">
        <v>-20268</v>
      </c>
      <c r="AI18" s="60">
        <f>IFERROR(AH18/AG18-1,0)</f>
        <v>-1.3050253213868324E-2</v>
      </c>
      <c r="AJ18" s="90">
        <f>AH18-AG18</f>
        <v>268</v>
      </c>
      <c r="AK18" s="297"/>
      <c r="AL18" s="297"/>
      <c r="AM18" s="297"/>
      <c r="AN18" s="102"/>
    </row>
    <row r="19" spans="1:40">
      <c r="A19" s="313" t="s">
        <v>480</v>
      </c>
      <c r="B19" s="313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v>-0.12063498264052415</v>
      </c>
      <c r="P19" s="10">
        <v>-0.10116136229300889</v>
      </c>
      <c r="Q19" s="10">
        <v>-0.14525978829012137</v>
      </c>
      <c r="R19" s="10">
        <f t="shared" ref="R19" si="11">R18/R8</f>
        <v>-0.11665798347085625</v>
      </c>
      <c r="S19" s="10"/>
      <c r="T19" s="272">
        <f>(R19-Q19)*100</f>
        <v>2.8601804819265122</v>
      </c>
      <c r="U19" s="10">
        <v>-0.10594059158478714</v>
      </c>
      <c r="V19" s="10">
        <f t="shared" ref="V19" si="12">V18/V8</f>
        <v>-8.3305139500297803E-2</v>
      </c>
      <c r="W19" s="10"/>
      <c r="X19" s="272">
        <f>(V19-U19)*100</f>
        <v>2.2635452084489334</v>
      </c>
      <c r="Y19" s="10">
        <v>-9.4503916712801922E-2</v>
      </c>
      <c r="Z19" s="10"/>
      <c r="AA19" s="10"/>
      <c r="AB19" s="272">
        <f>(Z19-Y19)*100</f>
        <v>9.4503916712801921</v>
      </c>
      <c r="AC19" s="10">
        <v>-8.0196414777426728E-2</v>
      </c>
      <c r="AD19" s="10"/>
      <c r="AE19" s="10"/>
      <c r="AF19" s="272">
        <f>(AD19-AC19)*100</f>
        <v>8.0196414777426721</v>
      </c>
      <c r="AG19" s="10">
        <f t="shared" ref="AG19" si="13">AG18/AG8</f>
        <v>-0.12200407476687866</v>
      </c>
      <c r="AH19" s="10">
        <f>AH18/AH8</f>
        <v>-9.7164835027695601E-2</v>
      </c>
      <c r="AI19" s="10"/>
      <c r="AJ19" s="272">
        <f>(AH19-AG19)*100</f>
        <v>2.4839239739183059</v>
      </c>
    </row>
    <row r="20" spans="1:40">
      <c r="A20" s="326"/>
      <c r="B20" s="327"/>
      <c r="C20" s="362"/>
      <c r="D20" s="362"/>
      <c r="E20" s="362"/>
      <c r="F20" s="364"/>
      <c r="G20" s="42"/>
      <c r="H20" s="362"/>
      <c r="I20" s="364"/>
      <c r="J20" s="364"/>
      <c r="K20" s="364"/>
      <c r="L20" s="364"/>
      <c r="M20" s="364"/>
      <c r="N20" s="364"/>
      <c r="O20" s="364"/>
      <c r="P20" s="364"/>
      <c r="Q20" s="24"/>
      <c r="R20" s="24"/>
      <c r="S20" s="59"/>
      <c r="T20" s="58"/>
      <c r="U20" s="42"/>
      <c r="V20" s="23"/>
      <c r="W20" s="59"/>
      <c r="X20" s="58"/>
      <c r="Y20" s="42"/>
      <c r="Z20" s="23"/>
      <c r="AA20" s="59"/>
      <c r="AB20" s="58"/>
      <c r="AC20" s="42"/>
      <c r="AD20" s="23"/>
      <c r="AE20" s="59"/>
      <c r="AF20" s="58"/>
      <c r="AG20" s="24"/>
      <c r="AH20" s="23"/>
      <c r="AI20" s="59"/>
      <c r="AJ20" s="58"/>
      <c r="AK20" s="297"/>
      <c r="AL20" s="297"/>
      <c r="AM20" s="297"/>
      <c r="AN20" s="102"/>
    </row>
    <row r="21" spans="1:40">
      <c r="A21" s="310" t="s">
        <v>482</v>
      </c>
      <c r="B21" s="311"/>
      <c r="C21" s="366">
        <v>26537</v>
      </c>
      <c r="D21" s="366">
        <v>-7520</v>
      </c>
      <c r="E21" s="366">
        <v>-28934</v>
      </c>
      <c r="F21" s="8">
        <v>-11784</v>
      </c>
      <c r="G21" s="8">
        <v>-9126</v>
      </c>
      <c r="H21" s="366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  <c r="Q21" s="8">
        <v>-235.1127100000009</v>
      </c>
      <c r="R21" s="8">
        <v>-4310.4732599999988</v>
      </c>
      <c r="S21" s="60">
        <f>IFERROR(R21/Q21-1,0)</f>
        <v>17.333646275439477</v>
      </c>
      <c r="T21" s="90">
        <f>R21-Q21</f>
        <v>-4075.3605499999981</v>
      </c>
      <c r="U21" s="8">
        <v>823.1127100000009</v>
      </c>
      <c r="V21" s="8">
        <v>-5145.511120000001</v>
      </c>
      <c r="W21" s="60">
        <f>IFERROR(V21/U21-1,0)</f>
        <v>-7.2512837640424666</v>
      </c>
      <c r="X21" s="90">
        <f>V21-U21</f>
        <v>-5968.6238300000023</v>
      </c>
      <c r="Y21" s="8">
        <v>-1188</v>
      </c>
      <c r="Z21" s="8"/>
      <c r="AA21" s="60">
        <f>Z21/Y21-1</f>
        <v>-1</v>
      </c>
      <c r="AB21" s="90">
        <f>Z21-Y21</f>
        <v>1188</v>
      </c>
      <c r="AC21" s="8">
        <v>-5401.1664099999998</v>
      </c>
      <c r="AD21" s="8"/>
      <c r="AE21" s="60">
        <f>AD21/AC21-1</f>
        <v>-1</v>
      </c>
      <c r="AF21" s="90">
        <f>AD21-AC21</f>
        <v>5401.1664099999998</v>
      </c>
      <c r="AG21" s="8">
        <f t="shared" ref="AG21:AH21" si="14">Q21+U21</f>
        <v>588</v>
      </c>
      <c r="AH21" s="8">
        <f t="shared" si="14"/>
        <v>-9455.9843799999999</v>
      </c>
      <c r="AI21" s="60">
        <f>IFERROR(AH21/AG21-1,0)</f>
        <v>-17.081606088435375</v>
      </c>
      <c r="AJ21" s="90">
        <f>AH21-AG21</f>
        <v>-10043.98438</v>
      </c>
    </row>
    <row r="22" spans="1:40">
      <c r="A22" s="326"/>
      <c r="B22" s="327"/>
      <c r="C22" s="362"/>
      <c r="D22" s="362"/>
      <c r="E22" s="362"/>
      <c r="F22" s="364"/>
      <c r="G22" s="40"/>
      <c r="H22" s="362"/>
      <c r="I22" s="364"/>
      <c r="J22" s="364"/>
      <c r="K22" s="364"/>
      <c r="L22" s="364"/>
      <c r="M22" s="364"/>
      <c r="N22" s="364"/>
      <c r="O22" s="364"/>
      <c r="P22" s="364"/>
      <c r="Q22" s="24"/>
      <c r="R22" s="24"/>
      <c r="S22" s="59"/>
      <c r="T22" s="58"/>
      <c r="U22" s="42"/>
      <c r="V22" s="23"/>
      <c r="W22" s="59"/>
      <c r="X22" s="58"/>
      <c r="Y22" s="42"/>
      <c r="Z22" s="23"/>
      <c r="AA22" s="59"/>
      <c r="AB22" s="58"/>
      <c r="AC22" s="42"/>
      <c r="AD22" s="23"/>
      <c r="AE22" s="59"/>
      <c r="AF22" s="58"/>
      <c r="AG22" s="24"/>
      <c r="AH22" s="23"/>
      <c r="AI22" s="59"/>
      <c r="AJ22" s="58"/>
      <c r="AK22" s="297"/>
      <c r="AL22" s="297"/>
    </row>
    <row r="23" spans="1:40">
      <c r="A23" s="326" t="s">
        <v>483</v>
      </c>
      <c r="B23" s="327"/>
      <c r="C23" s="370">
        <f>C10+C13+C18+C21+C14+C15</f>
        <v>98500</v>
      </c>
      <c r="D23" s="370">
        <f t="shared" ref="D23:L23" si="15">D10+D13+D18+D21+D14+D15</f>
        <v>64759</v>
      </c>
      <c r="E23" s="370">
        <f t="shared" si="15"/>
        <v>48490</v>
      </c>
      <c r="F23" s="370">
        <f t="shared" si="15"/>
        <v>65180</v>
      </c>
      <c r="G23" s="370">
        <f t="shared" si="15"/>
        <v>31655</v>
      </c>
      <c r="H23" s="370">
        <f t="shared" si="15"/>
        <v>8544.9741403039661</v>
      </c>
      <c r="I23" s="370">
        <f t="shared" si="15"/>
        <v>-12773.390136322469</v>
      </c>
      <c r="J23" s="370">
        <f t="shared" si="15"/>
        <v>-2901.8242947548279</v>
      </c>
      <c r="K23" s="370">
        <f t="shared" si="15"/>
        <v>-126645</v>
      </c>
      <c r="L23" s="370">
        <f t="shared" si="15"/>
        <v>-9616</v>
      </c>
      <c r="M23" s="370">
        <v>50648.677914169384</v>
      </c>
      <c r="N23" s="370">
        <v>55600.616256301873</v>
      </c>
      <c r="O23" s="370">
        <v>61715.197720072669</v>
      </c>
      <c r="P23" s="370">
        <v>66766.925824260077</v>
      </c>
      <c r="Q23" s="23">
        <v>4344.825632352804</v>
      </c>
      <c r="R23" s="23">
        <f>R10+R13+R18+R21+R14</f>
        <v>5040.7564852264186</v>
      </c>
      <c r="S23" s="57">
        <f>IFERROR(R23/Q23-1,0)</f>
        <v>0.16017463340565752</v>
      </c>
      <c r="T23" s="91">
        <f>R23-Q23</f>
        <v>695.93085287361464</v>
      </c>
      <c r="U23" s="23">
        <v>19135.336493473769</v>
      </c>
      <c r="V23" s="23">
        <f>V10+V13+V18+V21+V14</f>
        <v>23279.741209674197</v>
      </c>
      <c r="W23" s="57">
        <f>IFERROR(V23/U23-1,0)</f>
        <v>0.2165838430703273</v>
      </c>
      <c r="X23" s="91">
        <f>V23-U23</f>
        <v>4144.4047162004281</v>
      </c>
      <c r="Y23" s="23">
        <v>14631.992371723609</v>
      </c>
      <c r="Z23" s="23"/>
      <c r="AA23" s="57">
        <f>Z23/Y23-1</f>
        <v>-1</v>
      </c>
      <c r="AB23" s="91">
        <f>Z23-Y23</f>
        <v>-14631.992371723609</v>
      </c>
      <c r="AC23" s="23">
        <v>28653.771326709917</v>
      </c>
      <c r="AD23" s="23"/>
      <c r="AE23" s="57">
        <f>AD23/AC23-1</f>
        <v>-1</v>
      </c>
      <c r="AF23" s="91">
        <f>AD23-AC23</f>
        <v>-28653.771326709917</v>
      </c>
      <c r="AG23" s="23">
        <f>AG10+AG13+AG18+AG21+AG14</f>
        <v>23480.162125826522</v>
      </c>
      <c r="AH23" s="23">
        <f>AH10+AH13+AH18+AH21+AH14</f>
        <v>28320.497694900616</v>
      </c>
      <c r="AI23" s="57">
        <f>IFERROR(AH23/AG23-1,0)</f>
        <v>0.20614574733920032</v>
      </c>
      <c r="AJ23" s="91">
        <f>AH23-AG23</f>
        <v>4840.3355690740937</v>
      </c>
    </row>
    <row r="24" spans="1:40">
      <c r="A24" s="326"/>
      <c r="B24" s="327"/>
      <c r="C24" s="362"/>
      <c r="D24" s="362"/>
      <c r="E24" s="362"/>
      <c r="F24" s="364"/>
      <c r="G24" s="43"/>
      <c r="H24" s="362"/>
      <c r="I24" s="364"/>
      <c r="J24" s="364"/>
      <c r="K24" s="364"/>
      <c r="L24" s="364"/>
      <c r="M24" s="364"/>
      <c r="N24" s="364"/>
      <c r="O24" s="364"/>
      <c r="P24" s="364"/>
      <c r="Q24" s="24"/>
      <c r="R24" s="24"/>
      <c r="S24" s="59"/>
      <c r="T24" s="58"/>
      <c r="U24" s="43"/>
      <c r="V24" s="23"/>
      <c r="W24" s="59"/>
      <c r="X24" s="58"/>
      <c r="Y24" s="43"/>
      <c r="Z24" s="23"/>
      <c r="AA24" s="59"/>
      <c r="AB24" s="58"/>
      <c r="AC24" s="43"/>
      <c r="AD24" s="23"/>
      <c r="AE24" s="59"/>
      <c r="AF24" s="58"/>
      <c r="AG24" s="24"/>
      <c r="AH24" s="23"/>
      <c r="AI24" s="59"/>
      <c r="AJ24" s="58"/>
      <c r="AK24" s="297"/>
    </row>
    <row r="25" spans="1:40">
      <c r="A25" s="311" t="s">
        <v>484</v>
      </c>
      <c r="B25" s="311"/>
      <c r="C25" s="366">
        <v>-9288</v>
      </c>
      <c r="D25" s="366">
        <v>-3374</v>
      </c>
      <c r="E25" s="366">
        <v>-29310</v>
      </c>
      <c r="F25" s="8">
        <v>-40566</v>
      </c>
      <c r="G25" s="8">
        <v>-58084</v>
      </c>
      <c r="H25" s="366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  <c r="Q25" s="8">
        <v>-1367.2563799999998</v>
      </c>
      <c r="R25" s="8">
        <v>-7636.7620100000013</v>
      </c>
      <c r="S25" s="60">
        <f t="shared" ref="S25:S27" si="16">IFERROR(R25/Q25-1,0)</f>
        <v>4.5854645271430385</v>
      </c>
      <c r="T25" s="90">
        <f>R25-Q25</f>
        <v>-6269.5056300000015</v>
      </c>
      <c r="U25" s="8">
        <v>-3450.7436200000002</v>
      </c>
      <c r="V25" s="8">
        <v>-11048.701899999996</v>
      </c>
      <c r="W25" s="60">
        <f t="shared" ref="W25:W27" si="17">IFERROR(V25/U25-1,0)</f>
        <v>2.2018321604547357</v>
      </c>
      <c r="X25" s="90">
        <f>V25-U25</f>
        <v>-7597.9582799999962</v>
      </c>
      <c r="Y25" s="8">
        <v>-8572</v>
      </c>
      <c r="Z25" s="8"/>
      <c r="AA25" s="60">
        <f>Z25/Y25-1</f>
        <v>-1</v>
      </c>
      <c r="AB25" s="90">
        <f>Z25-Y25</f>
        <v>8572</v>
      </c>
      <c r="AC25" s="8">
        <v>-11677.360720000001</v>
      </c>
      <c r="AD25" s="8"/>
      <c r="AE25" s="60">
        <f>AD25/AC25-1</f>
        <v>-1</v>
      </c>
      <c r="AF25" s="90">
        <f>AD25-AC25</f>
        <v>11677.360720000001</v>
      </c>
      <c r="AG25" s="8">
        <f t="shared" ref="AG25:AH26" si="18">Q25+U25</f>
        <v>-4818</v>
      </c>
      <c r="AH25" s="8">
        <f t="shared" si="18"/>
        <v>-18685.463909999999</v>
      </c>
      <c r="AI25" s="60">
        <f t="shared" ref="AI25:AI27" si="19">IFERROR(AH25/AG25-1,0)</f>
        <v>2.8782615006226648</v>
      </c>
      <c r="AJ25" s="90">
        <f>AH25-AG25</f>
        <v>-13867.463909999999</v>
      </c>
    </row>
    <row r="26" spans="1:40">
      <c r="A26" s="311" t="s">
        <v>485</v>
      </c>
      <c r="B26" s="311"/>
      <c r="C26" s="366">
        <v>16592</v>
      </c>
      <c r="D26" s="366">
        <v>20034</v>
      </c>
      <c r="E26" s="366">
        <v>23764</v>
      </c>
      <c r="F26" s="8">
        <v>30667</v>
      </c>
      <c r="G26" s="8">
        <v>57485</v>
      </c>
      <c r="H26" s="366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  <c r="Q26" s="8">
        <v>6423</v>
      </c>
      <c r="R26" s="8">
        <v>7801.7423144555432</v>
      </c>
      <c r="S26" s="60">
        <f t="shared" si="16"/>
        <v>0.21465706281419017</v>
      </c>
      <c r="T26" s="90">
        <f>R26-Q26</f>
        <v>1378.7423144555432</v>
      </c>
      <c r="U26" s="8">
        <v>9780</v>
      </c>
      <c r="V26" s="8">
        <v>11061.61857942777</v>
      </c>
      <c r="W26" s="60">
        <f t="shared" si="17"/>
        <v>0.13104484452226695</v>
      </c>
      <c r="X26" s="90">
        <f>V26-U26</f>
        <v>1281.6185794277699</v>
      </c>
      <c r="Y26" s="8">
        <v>8647</v>
      </c>
      <c r="Z26" s="8"/>
      <c r="AA26" s="60">
        <f>Z26/Y26-1</f>
        <v>-1</v>
      </c>
      <c r="AB26" s="90">
        <f>Z26-Y26</f>
        <v>-8647</v>
      </c>
      <c r="AC26" s="8">
        <v>18553.342913635977</v>
      </c>
      <c r="AD26" s="8"/>
      <c r="AE26" s="60">
        <f>AD26/AC26-1</f>
        <v>-1</v>
      </c>
      <c r="AF26" s="90">
        <f>AD26-AC26</f>
        <v>-18553.342913635977</v>
      </c>
      <c r="AG26" s="8">
        <f t="shared" si="18"/>
        <v>16203</v>
      </c>
      <c r="AH26" s="8">
        <f t="shared" si="18"/>
        <v>18863.360893883313</v>
      </c>
      <c r="AI26" s="60">
        <f t="shared" si="19"/>
        <v>0.1641894028194355</v>
      </c>
      <c r="AJ26" s="90">
        <f>AH26-AG26</f>
        <v>2660.3608938833131</v>
      </c>
    </row>
    <row r="27" spans="1:40">
      <c r="A27" s="310" t="s">
        <v>486</v>
      </c>
      <c r="B27" s="311"/>
      <c r="C27" s="366">
        <f>SUM(C25:C26)</f>
        <v>7304</v>
      </c>
      <c r="D27" s="366">
        <f t="shared" ref="D27:L27" si="20">SUM(D25:D26)</f>
        <v>16660</v>
      </c>
      <c r="E27" s="366">
        <f t="shared" si="20"/>
        <v>-5546</v>
      </c>
      <c r="F27" s="366">
        <f t="shared" si="20"/>
        <v>-9899</v>
      </c>
      <c r="G27" s="366">
        <f t="shared" si="20"/>
        <v>-599</v>
      </c>
      <c r="H27" s="366">
        <f t="shared" si="20"/>
        <v>-6690</v>
      </c>
      <c r="I27" s="366">
        <f t="shared" si="20"/>
        <v>-2499</v>
      </c>
      <c r="J27" s="366">
        <f t="shared" si="20"/>
        <v>4249</v>
      </c>
      <c r="K27" s="366">
        <f t="shared" si="20"/>
        <v>-5183</v>
      </c>
      <c r="L27" s="366">
        <f t="shared" si="20"/>
        <v>-24308</v>
      </c>
      <c r="M27" s="366">
        <v>-15031</v>
      </c>
      <c r="N27" s="366">
        <v>-9971</v>
      </c>
      <c r="O27" s="366">
        <v>3515.9999999999991</v>
      </c>
      <c r="P27" s="366">
        <v>18335.982193635977</v>
      </c>
      <c r="Q27" s="8">
        <v>5055.8470842935685</v>
      </c>
      <c r="R27" s="8">
        <f>SUM(R25:R26)</f>
        <v>164.98030445554195</v>
      </c>
      <c r="S27" s="60">
        <f t="shared" si="16"/>
        <v>-0.96736841488579284</v>
      </c>
      <c r="T27" s="90">
        <f>R27-Q27</f>
        <v>-4890.8667798380266</v>
      </c>
      <c r="U27" s="8">
        <v>6329.2563799999998</v>
      </c>
      <c r="V27" s="8">
        <f>SUM(V25:V26)</f>
        <v>12.916679427773488</v>
      </c>
      <c r="W27" s="60">
        <f t="shared" si="17"/>
        <v>-0.99795921058458159</v>
      </c>
      <c r="X27" s="90">
        <f>V27-U27</f>
        <v>-6316.3397005722263</v>
      </c>
      <c r="Y27" s="8">
        <v>75</v>
      </c>
      <c r="Z27" s="8"/>
      <c r="AA27" s="60">
        <f>Z27/Y27-1</f>
        <v>-1</v>
      </c>
      <c r="AB27" s="90">
        <f>Z27-Y27</f>
        <v>-75</v>
      </c>
      <c r="AC27" s="8">
        <v>6875.9821936359767</v>
      </c>
      <c r="AD27" s="8"/>
      <c r="AE27" s="60">
        <f>AD27/AC27-1</f>
        <v>-1</v>
      </c>
      <c r="AF27" s="90">
        <f>AD27-AC27</f>
        <v>-6875.9821936359767</v>
      </c>
      <c r="AG27" s="8">
        <f>SUM(AG25:AG26)</f>
        <v>11385</v>
      </c>
      <c r="AH27" s="8">
        <f>SUM(AH25:AH26)</f>
        <v>177.89698388331453</v>
      </c>
      <c r="AI27" s="60">
        <f t="shared" si="19"/>
        <v>-0.98437444146830788</v>
      </c>
      <c r="AJ27" s="90">
        <f>AH27-AG27</f>
        <v>-11207.103016116685</v>
      </c>
    </row>
    <row r="28" spans="1:40">
      <c r="A28" s="326"/>
      <c r="B28" s="327"/>
      <c r="C28" s="362"/>
      <c r="D28" s="362"/>
      <c r="E28" s="362"/>
      <c r="F28" s="371"/>
      <c r="G28" s="40"/>
      <c r="H28" s="362"/>
      <c r="I28" s="371"/>
      <c r="J28" s="371"/>
      <c r="K28" s="371"/>
      <c r="L28" s="371"/>
      <c r="M28" s="371"/>
      <c r="N28" s="371"/>
      <c r="O28" s="371"/>
      <c r="P28" s="371"/>
      <c r="Q28" s="85"/>
      <c r="R28" s="85"/>
      <c r="S28" s="59"/>
      <c r="T28" s="58"/>
      <c r="U28" s="42"/>
      <c r="V28" s="23"/>
      <c r="W28" s="59"/>
      <c r="X28" s="58"/>
      <c r="Y28" s="42"/>
      <c r="Z28" s="23"/>
      <c r="AA28" s="59"/>
      <c r="AB28" s="58"/>
      <c r="AC28" s="42"/>
      <c r="AD28" s="23"/>
      <c r="AE28" s="59"/>
      <c r="AF28" s="58"/>
      <c r="AG28" s="85"/>
      <c r="AH28" s="85"/>
      <c r="AI28" s="59"/>
      <c r="AJ28" s="58"/>
    </row>
    <row r="29" spans="1:40">
      <c r="A29" s="326" t="s">
        <v>487</v>
      </c>
      <c r="B29" s="327"/>
      <c r="C29" s="362">
        <f>C23+C27</f>
        <v>105804</v>
      </c>
      <c r="D29" s="362">
        <f t="shared" ref="D29:L29" si="21">D23+D27</f>
        <v>81419</v>
      </c>
      <c r="E29" s="362">
        <f t="shared" si="21"/>
        <v>42944</v>
      </c>
      <c r="F29" s="362">
        <f t="shared" si="21"/>
        <v>55281</v>
      </c>
      <c r="G29" s="362">
        <f t="shared" si="21"/>
        <v>31056</v>
      </c>
      <c r="H29" s="362">
        <f t="shared" si="21"/>
        <v>1854.9741403039661</v>
      </c>
      <c r="I29" s="362">
        <f t="shared" si="21"/>
        <v>-15272.390136322469</v>
      </c>
      <c r="J29" s="362">
        <f t="shared" si="21"/>
        <v>1347.1757052451721</v>
      </c>
      <c r="K29" s="362">
        <f t="shared" si="21"/>
        <v>-131828</v>
      </c>
      <c r="L29" s="362">
        <f t="shared" si="21"/>
        <v>-33924</v>
      </c>
      <c r="M29" s="362">
        <v>35617.677914169384</v>
      </c>
      <c r="N29" s="362">
        <v>45629.616256301873</v>
      </c>
      <c r="O29" s="362">
        <v>65231.197720072669</v>
      </c>
      <c r="P29" s="362">
        <v>85102.908017896058</v>
      </c>
      <c r="Q29" s="23">
        <v>9400.6727166463716</v>
      </c>
      <c r="R29" s="23">
        <f>R23+R27</f>
        <v>5205.7367896819605</v>
      </c>
      <c r="S29" s="57">
        <f>IFERROR(R29/Q29-1,0)</f>
        <v>-0.44623784418493473</v>
      </c>
      <c r="T29" s="91">
        <f>R29-Q29</f>
        <v>-4194.935926964411</v>
      </c>
      <c r="U29" s="23">
        <v>25464.592873473768</v>
      </c>
      <c r="V29" s="23">
        <f>V23+V27</f>
        <v>23292.657889101971</v>
      </c>
      <c r="W29" s="57">
        <f>IFERROR(V29/U29-1,0)</f>
        <v>-8.5292350644030179E-2</v>
      </c>
      <c r="X29" s="91">
        <f>V29-U29</f>
        <v>-2171.9349843717973</v>
      </c>
      <c r="Y29" s="23">
        <v>14706.992371723609</v>
      </c>
      <c r="Z29" s="23"/>
      <c r="AA29" s="57">
        <f>Z29/Y29-1</f>
        <v>-1</v>
      </c>
      <c r="AB29" s="91">
        <f>Z29-Y29</f>
        <v>-14706.992371723609</v>
      </c>
      <c r="AC29" s="23">
        <v>35529.753520345897</v>
      </c>
      <c r="AD29" s="23"/>
      <c r="AE29" s="57">
        <f>AD29/AC29-1</f>
        <v>-1</v>
      </c>
      <c r="AF29" s="91">
        <f>AD29-AC29</f>
        <v>-35529.753520345897</v>
      </c>
      <c r="AG29" s="23">
        <f>AG23+AG27</f>
        <v>34865.162125826522</v>
      </c>
      <c r="AH29" s="23">
        <f>AH23+AH27</f>
        <v>28498.39467878393</v>
      </c>
      <c r="AI29" s="57">
        <f>IFERROR(AH29/AG29-1,0)</f>
        <v>-0.18261115276232665</v>
      </c>
      <c r="AJ29" s="91">
        <f>AH29-AG29</f>
        <v>-6366.7674470425918</v>
      </c>
    </row>
    <row r="30" spans="1:40">
      <c r="A30" s="326"/>
      <c r="B30" s="327"/>
      <c r="C30" s="362"/>
      <c r="D30" s="362"/>
      <c r="E30" s="362"/>
      <c r="F30" s="23"/>
      <c r="G30" s="23"/>
      <c r="H30" s="362"/>
      <c r="I30" s="23">
        <v>0</v>
      </c>
      <c r="J30" s="23"/>
      <c r="K30" s="23"/>
      <c r="L30" s="23"/>
      <c r="M30" s="23"/>
      <c r="N30" s="23"/>
      <c r="O30" s="23"/>
      <c r="P30" s="23"/>
      <c r="Q30" s="23"/>
      <c r="R30" s="23"/>
      <c r="S30" s="59"/>
      <c r="T30" s="58"/>
      <c r="U30" s="23"/>
      <c r="V30" s="23"/>
      <c r="W30" s="59"/>
      <c r="X30" s="58"/>
      <c r="Y30" s="23"/>
      <c r="Z30" s="23"/>
      <c r="AA30" s="59"/>
      <c r="AB30" s="273"/>
      <c r="AC30" s="23"/>
      <c r="AD30" s="23"/>
      <c r="AE30" s="59"/>
      <c r="AF30" s="273"/>
      <c r="AG30" s="23"/>
      <c r="AH30" s="23"/>
      <c r="AI30" s="59"/>
      <c r="AJ30" s="91"/>
    </row>
    <row r="31" spans="1:40">
      <c r="A31" s="327" t="s">
        <v>488</v>
      </c>
      <c r="B31" s="327"/>
      <c r="C31" s="362">
        <v>-5992</v>
      </c>
      <c r="D31" s="362">
        <v>-6459</v>
      </c>
      <c r="E31" s="362">
        <v>-7244</v>
      </c>
      <c r="F31" s="23">
        <v>-7146</v>
      </c>
      <c r="G31" s="23">
        <v>-7223</v>
      </c>
      <c r="H31" s="362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  <c r="Q31" s="23">
        <v>-724.82547541100007</v>
      </c>
      <c r="R31" s="23">
        <v>-6079.5761400000001</v>
      </c>
      <c r="S31" s="57">
        <f t="shared" ref="S31:S32" si="22">IFERROR(R31/Q31-1,0)</f>
        <v>7.3876413650509161</v>
      </c>
      <c r="T31" s="91">
        <f>R31-Q31</f>
        <v>-5354.7506645889998</v>
      </c>
      <c r="U31" s="23">
        <v>-1726.1745245889999</v>
      </c>
      <c r="V31" s="23">
        <v>-6053.8755400000009</v>
      </c>
      <c r="W31" s="57">
        <f t="shared" ref="W31:W32" si="23">IFERROR(V31/U31-1,0)</f>
        <v>2.5071051355258653</v>
      </c>
      <c r="X31" s="91">
        <f>V31-U31</f>
        <v>-4327.7010154110012</v>
      </c>
      <c r="Y31" s="23">
        <v>-2756</v>
      </c>
      <c r="Z31" s="23"/>
      <c r="AA31" s="57"/>
      <c r="AB31" s="91">
        <f>Z31-Y31</f>
        <v>2756</v>
      </c>
      <c r="AC31" s="23">
        <v>-6313.847135410997</v>
      </c>
      <c r="AD31" s="23"/>
      <c r="AE31" s="57"/>
      <c r="AF31" s="91">
        <f>AD31-AC31</f>
        <v>6313.847135410997</v>
      </c>
      <c r="AG31" s="23">
        <f t="shared" ref="AG31:AH32" si="24">Q31+U31</f>
        <v>-2451</v>
      </c>
      <c r="AH31" s="23">
        <f t="shared" si="24"/>
        <v>-12133.451680000002</v>
      </c>
      <c r="AI31" s="57">
        <f t="shared" ref="AI31:AI32" si="25">IFERROR(AH31/AG31-1,0)</f>
        <v>3.9504086821705435</v>
      </c>
      <c r="AJ31" s="91">
        <f>AH31-AG31</f>
        <v>-9682.4516800000019</v>
      </c>
    </row>
    <row r="32" spans="1:40">
      <c r="A32" s="327" t="s">
        <v>489</v>
      </c>
      <c r="B32" s="327"/>
      <c r="C32" s="362">
        <v>-10855</v>
      </c>
      <c r="D32" s="362">
        <v>-11196</v>
      </c>
      <c r="E32" s="362">
        <v>-4178</v>
      </c>
      <c r="F32" s="23">
        <v>-1907</v>
      </c>
      <c r="G32" s="23">
        <v>-1818</v>
      </c>
      <c r="H32" s="362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  <c r="Q32" s="23">
        <v>-2805.6748700000003</v>
      </c>
      <c r="R32" s="23">
        <v>5360.7877100000005</v>
      </c>
      <c r="S32" s="57">
        <f t="shared" si="22"/>
        <v>-2.9106945595588556</v>
      </c>
      <c r="T32" s="91">
        <f>R32-Q32</f>
        <v>8166.4625800000013</v>
      </c>
      <c r="U32" s="23">
        <v>-3667.3251299999997</v>
      </c>
      <c r="V32" s="23">
        <v>1857.0732099999998</v>
      </c>
      <c r="W32" s="57">
        <f t="shared" si="23"/>
        <v>-1.5063835749954353</v>
      </c>
      <c r="X32" s="91">
        <f>V32-U32</f>
        <v>5524.3983399999997</v>
      </c>
      <c r="Y32" s="23">
        <v>930</v>
      </c>
      <c r="Z32" s="23"/>
      <c r="AA32" s="57">
        <f>Z32/Y32-1</f>
        <v>-1</v>
      </c>
      <c r="AB32" s="91">
        <f>Z32-Y32</f>
        <v>-930</v>
      </c>
      <c r="AC32" s="23">
        <v>-3204.6322700000005</v>
      </c>
      <c r="AD32" s="23"/>
      <c r="AE32" s="57">
        <f>AD32/AC32-1</f>
        <v>-1</v>
      </c>
      <c r="AF32" s="91">
        <f>AD32-AC32</f>
        <v>3204.6322700000005</v>
      </c>
      <c r="AG32" s="23">
        <f t="shared" si="24"/>
        <v>-6473</v>
      </c>
      <c r="AH32" s="23">
        <f t="shared" si="24"/>
        <v>7217.8609200000001</v>
      </c>
      <c r="AI32" s="57">
        <f t="shared" si="25"/>
        <v>-2.1150719789896493</v>
      </c>
      <c r="AJ32" s="91">
        <f>AH32-AG32</f>
        <v>13690.860919999999</v>
      </c>
    </row>
    <row r="33" spans="1:36">
      <c r="A33" s="310" t="s">
        <v>490</v>
      </c>
      <c r="B33" s="311"/>
      <c r="C33" s="366">
        <f>SUM(C31:C32)</f>
        <v>-16847</v>
      </c>
      <c r="D33" s="366">
        <f t="shared" ref="D33:L33" si="26">SUM(D31:D32)</f>
        <v>-17655</v>
      </c>
      <c r="E33" s="366">
        <f t="shared" si="26"/>
        <v>-11422</v>
      </c>
      <c r="F33" s="366">
        <f t="shared" si="26"/>
        <v>-9053</v>
      </c>
      <c r="G33" s="366">
        <f t="shared" si="26"/>
        <v>-9041</v>
      </c>
      <c r="H33" s="366">
        <f t="shared" si="26"/>
        <v>-3791</v>
      </c>
      <c r="I33" s="366">
        <f t="shared" si="26"/>
        <v>3188</v>
      </c>
      <c r="J33" s="366">
        <f t="shared" si="26"/>
        <v>13022</v>
      </c>
      <c r="K33" s="366">
        <f t="shared" si="26"/>
        <v>9174</v>
      </c>
      <c r="L33" s="366">
        <f t="shared" si="26"/>
        <v>5761</v>
      </c>
      <c r="M33" s="366">
        <v>-7537</v>
      </c>
      <c r="N33" s="366">
        <v>-5707</v>
      </c>
      <c r="O33" s="366">
        <v>-9019</v>
      </c>
      <c r="P33" s="366">
        <v>-20268.479405410995</v>
      </c>
      <c r="Q33" s="8">
        <v>-3530.5003454110001</v>
      </c>
      <c r="R33" s="8">
        <f t="shared" ref="R33" si="27">SUM(R31:R32)</f>
        <v>-718.78842999999961</v>
      </c>
      <c r="S33" s="60">
        <f>IFERROR(R33/Q33-1,0)</f>
        <v>-0.79640607288587517</v>
      </c>
      <c r="T33" s="90">
        <f>R33-Q33</f>
        <v>2811.7119154110005</v>
      </c>
      <c r="U33" s="8">
        <v>-5393.4996545889999</v>
      </c>
      <c r="V33" s="8">
        <f t="shared" ref="V33" si="28">SUM(V31:V32)</f>
        <v>-4196.8023300000013</v>
      </c>
      <c r="W33" s="60">
        <f>IFERROR(V33/U33-1,0)</f>
        <v>-0.22187770487216063</v>
      </c>
      <c r="X33" s="90">
        <f>V33-U33</f>
        <v>1196.6973245889985</v>
      </c>
      <c r="Y33" s="8">
        <v>-1826</v>
      </c>
      <c r="Z33" s="8"/>
      <c r="AA33" s="60">
        <f>Z33/Y33-1</f>
        <v>-1</v>
      </c>
      <c r="AB33" s="90">
        <f>Z33-Y33</f>
        <v>1826</v>
      </c>
      <c r="AC33" s="8">
        <v>-9518.4794054109971</v>
      </c>
      <c r="AD33" s="8"/>
      <c r="AE33" s="60">
        <f>AD33/AC33-1</f>
        <v>-1</v>
      </c>
      <c r="AF33" s="90">
        <f>AD33-AC33</f>
        <v>9518.4794054109971</v>
      </c>
      <c r="AG33" s="8">
        <f t="shared" ref="AG33" si="29">SUM(AG31:AG32)</f>
        <v>-8924</v>
      </c>
      <c r="AH33" s="8">
        <f>SUM(AH31:AH32)</f>
        <v>-4915.5907600000019</v>
      </c>
      <c r="AI33" s="60">
        <f>IFERROR(AH33/AG33-1,0)</f>
        <v>-0.44917181084715352</v>
      </c>
      <c r="AJ33" s="90">
        <f>AH33-AG33</f>
        <v>4008.4092399999981</v>
      </c>
    </row>
    <row r="34" spans="1:36">
      <c r="A34" s="326"/>
      <c r="B34" s="327"/>
      <c r="C34" s="362"/>
      <c r="D34" s="362"/>
      <c r="E34" s="362"/>
      <c r="F34" s="364"/>
      <c r="G34" s="7"/>
      <c r="H34" s="362"/>
      <c r="I34" s="364"/>
      <c r="J34" s="364"/>
      <c r="K34" s="364"/>
      <c r="L34" s="364"/>
      <c r="M34" s="364"/>
      <c r="N34" s="364"/>
      <c r="O34" s="364"/>
      <c r="P34" s="364"/>
      <c r="Q34" s="24"/>
      <c r="R34" s="24"/>
      <c r="S34" s="59"/>
      <c r="T34" s="58"/>
      <c r="U34" s="7"/>
      <c r="V34" s="23"/>
      <c r="W34" s="59"/>
      <c r="X34" s="58"/>
      <c r="Y34" s="7"/>
      <c r="Z34" s="23"/>
      <c r="AA34" s="59"/>
      <c r="AB34" s="58"/>
      <c r="AC34" s="7"/>
      <c r="AD34" s="23"/>
      <c r="AE34" s="59"/>
      <c r="AF34" s="58"/>
      <c r="AG34" s="24"/>
      <c r="AH34" s="24"/>
      <c r="AI34" s="59"/>
      <c r="AJ34" s="58"/>
    </row>
    <row r="35" spans="1:36">
      <c r="A35" s="310" t="s">
        <v>491</v>
      </c>
      <c r="B35" s="311"/>
      <c r="C35" s="366">
        <f>C29+C33</f>
        <v>88957</v>
      </c>
      <c r="D35" s="366">
        <f t="shared" ref="D35:L35" si="30">D29+D33</f>
        <v>63764</v>
      </c>
      <c r="E35" s="366">
        <f t="shared" si="30"/>
        <v>31522</v>
      </c>
      <c r="F35" s="366">
        <f t="shared" si="30"/>
        <v>46228</v>
      </c>
      <c r="G35" s="366">
        <f t="shared" si="30"/>
        <v>22015</v>
      </c>
      <c r="H35" s="366">
        <f t="shared" si="30"/>
        <v>-1936.0258596960339</v>
      </c>
      <c r="I35" s="366">
        <f t="shared" si="30"/>
        <v>-12084.390136322469</v>
      </c>
      <c r="J35" s="366">
        <f t="shared" si="30"/>
        <v>14369.175705245172</v>
      </c>
      <c r="K35" s="366">
        <f t="shared" si="30"/>
        <v>-122654</v>
      </c>
      <c r="L35" s="366">
        <f t="shared" si="30"/>
        <v>-28163</v>
      </c>
      <c r="M35" s="366">
        <v>28080.677914169384</v>
      </c>
      <c r="N35" s="366">
        <v>39922.616256301873</v>
      </c>
      <c r="O35" s="366">
        <v>56212.197720072669</v>
      </c>
      <c r="P35" s="366">
        <v>64834.428612485062</v>
      </c>
      <c r="Q35" s="8">
        <v>5870.1723712353705</v>
      </c>
      <c r="R35" s="8">
        <f>SUM(R29:R32)</f>
        <v>4486.9483596819609</v>
      </c>
      <c r="S35" s="60">
        <f>IFERROR(R35/Q35-1,0)</f>
        <v>-0.23563601272279366</v>
      </c>
      <c r="T35" s="90">
        <f>R35-Q35</f>
        <v>-1383.2240115534096</v>
      </c>
      <c r="U35" s="8">
        <v>20071.093218884766</v>
      </c>
      <c r="V35" s="8">
        <f>SUM(V29:V32)</f>
        <v>19095.855559101969</v>
      </c>
      <c r="W35" s="60">
        <f>IFERROR(V35/U35-1,0)</f>
        <v>-4.8589164982065003E-2</v>
      </c>
      <c r="X35" s="90">
        <f>V35-U35</f>
        <v>-975.23765978279698</v>
      </c>
      <c r="Y35" s="8">
        <v>12880.992371723609</v>
      </c>
      <c r="Z35" s="8"/>
      <c r="AA35" s="60">
        <f>Z35/Y35-1</f>
        <v>-1</v>
      </c>
      <c r="AB35" s="90">
        <f>Z35-Y35</f>
        <v>-12880.992371723609</v>
      </c>
      <c r="AC35" s="8">
        <v>26011.274114934899</v>
      </c>
      <c r="AD35" s="8"/>
      <c r="AE35" s="60">
        <f>AD35/AC35-1</f>
        <v>-1</v>
      </c>
      <c r="AF35" s="90">
        <f>AD35-AC35</f>
        <v>-26011.274114934899</v>
      </c>
      <c r="AG35" s="8">
        <f>SUM(AG29:AG32)</f>
        <v>25941.162125826522</v>
      </c>
      <c r="AH35" s="8">
        <f t="shared" ref="AH35" si="31">SUM(AH29:AH32)</f>
        <v>23582.803918783928</v>
      </c>
      <c r="AI35" s="60">
        <f>IFERROR(AH35/AG35-1,0)</f>
        <v>-9.0911817890172997E-2</v>
      </c>
      <c r="AJ35" s="90">
        <f>AH35-AG35</f>
        <v>-2358.3582070425946</v>
      </c>
    </row>
    <row r="36" spans="1:36">
      <c r="A36" s="312" t="s">
        <v>492</v>
      </c>
      <c r="B36" s="312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v>0.16419665115733256</v>
      </c>
      <c r="P36" s="9">
        <v>0.16197268581518959</v>
      </c>
      <c r="Q36" s="9">
        <v>8.5363899877081761E-2</v>
      </c>
      <c r="R36" s="9">
        <f t="shared" ref="R36" si="32">R35/R8</f>
        <v>5.1764077094379329E-2</v>
      </c>
      <c r="S36" s="9"/>
      <c r="T36" s="53">
        <f>(R36-Q36)*100</f>
        <v>-3.3599822782702433</v>
      </c>
      <c r="U36" s="9">
        <v>0.20160647476647969</v>
      </c>
      <c r="V36" s="9">
        <f t="shared" ref="V36" si="33">V35/V8</f>
        <v>0.15663478842344691</v>
      </c>
      <c r="W36" s="9"/>
      <c r="X36" s="53">
        <f>(V36-U36)*100</f>
        <v>-4.4971686343032777</v>
      </c>
      <c r="Y36" s="9">
        <v>0.13604204629812303</v>
      </c>
      <c r="Z36" s="9"/>
      <c r="AA36" s="9"/>
      <c r="AB36" s="53">
        <f>(Z36-Y36)*100</f>
        <v>-13.604204629812303</v>
      </c>
      <c r="AC36" s="9">
        <v>0.1894845411196826</v>
      </c>
      <c r="AD36" s="9"/>
      <c r="AE36" s="9"/>
      <c r="AF36" s="53">
        <f>(AD36-AC36)*100</f>
        <v>-18.94845411196826</v>
      </c>
      <c r="AG36" s="9">
        <f>AG35/AG8</f>
        <v>0.15411606367058142</v>
      </c>
      <c r="AH36" s="9">
        <f t="shared" ref="AH36" si="34">AH35/AH8</f>
        <v>0.11305601205146704</v>
      </c>
      <c r="AI36" s="9"/>
      <c r="AJ36" s="53">
        <f>(AH36-AG36)*100</f>
        <v>-4.1060051619114386</v>
      </c>
    </row>
    <row r="37" spans="1:36">
      <c r="A37" s="326"/>
      <c r="B37" s="327"/>
      <c r="C37" s="364"/>
      <c r="D37" s="364"/>
      <c r="E37" s="364"/>
      <c r="F37" s="364"/>
      <c r="G37" s="364"/>
      <c r="H37" s="372"/>
      <c r="I37" s="364"/>
      <c r="J37" s="364"/>
      <c r="K37" s="364"/>
      <c r="L37" s="364"/>
      <c r="M37" s="364"/>
      <c r="N37" s="364"/>
      <c r="O37" s="364"/>
      <c r="P37" s="364"/>
      <c r="Q37" s="24"/>
      <c r="R37" s="24"/>
      <c r="S37" s="59"/>
      <c r="T37" s="58"/>
      <c r="U37" s="44"/>
      <c r="V37" s="44"/>
      <c r="W37" s="59"/>
      <c r="X37" s="58"/>
      <c r="Y37" s="44"/>
      <c r="Z37" s="44"/>
      <c r="AA37" s="59"/>
      <c r="AB37" s="58"/>
      <c r="AC37" s="44"/>
      <c r="AD37" s="44"/>
      <c r="AE37" s="59"/>
      <c r="AF37" s="58"/>
      <c r="AG37" s="24"/>
      <c r="AH37" s="24"/>
      <c r="AI37" s="59"/>
      <c r="AJ37" s="58"/>
    </row>
    <row r="38" spans="1:36">
      <c r="A38" s="325" t="s">
        <v>493</v>
      </c>
      <c r="B38" s="316"/>
      <c r="C38" s="373">
        <v>-3147</v>
      </c>
      <c r="D38" s="374">
        <v>-5425</v>
      </c>
      <c r="E38" s="374">
        <v>-9599</v>
      </c>
      <c r="F38" s="23">
        <v>-13148.34042</v>
      </c>
      <c r="G38" s="23">
        <v>-14029</v>
      </c>
      <c r="H38" s="374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  <c r="Q38" s="23">
        <v>-2436</v>
      </c>
      <c r="R38" s="23">
        <v>-2683</v>
      </c>
      <c r="S38" s="64">
        <f>IFERROR(R38/Q38-1,0)</f>
        <v>0.10139573070607555</v>
      </c>
      <c r="T38" s="91">
        <f>R38-Q38</f>
        <v>-247</v>
      </c>
      <c r="U38" s="23">
        <v>-2511</v>
      </c>
      <c r="V38" s="23">
        <v>-2841</v>
      </c>
      <c r="W38" s="64">
        <f>IFERROR(V38/U38-1,0)</f>
        <v>0.13142174432497011</v>
      </c>
      <c r="X38" s="91">
        <f>V38-U38</f>
        <v>-330</v>
      </c>
      <c r="Y38" s="23">
        <v>-2942</v>
      </c>
      <c r="Z38" s="23"/>
      <c r="AA38" s="57">
        <f>Z38/Y38-1</f>
        <v>-1</v>
      </c>
      <c r="AB38" s="91">
        <f t="shared" ref="AB38:AB50" si="35">Z38-Y38</f>
        <v>2942</v>
      </c>
      <c r="AC38" s="23">
        <v>-2648</v>
      </c>
      <c r="AD38" s="23"/>
      <c r="AE38" s="57">
        <f>AD38/AC38-1</f>
        <v>-1</v>
      </c>
      <c r="AF38" s="91">
        <f t="shared" ref="AF38:AF43" si="36">AD38-AC38</f>
        <v>2648</v>
      </c>
      <c r="AG38" s="23">
        <f t="shared" ref="AG38:AG43" si="37">Q38+U38</f>
        <v>-4947</v>
      </c>
      <c r="AH38" s="23">
        <f>R38+V38+Z38+AD38</f>
        <v>-5524</v>
      </c>
      <c r="AI38" s="57">
        <f>IFERROR(AH38/AG38-1,0)</f>
        <v>0.11663634525975342</v>
      </c>
      <c r="AJ38" s="91">
        <f>AH38-AG38</f>
        <v>-577</v>
      </c>
    </row>
    <row r="39" spans="1:36">
      <c r="A39" s="325" t="s">
        <v>494</v>
      </c>
      <c r="B39" s="316"/>
      <c r="C39" s="373">
        <v>7189</v>
      </c>
      <c r="D39" s="374">
        <v>11074</v>
      </c>
      <c r="E39" s="374">
        <v>13116</v>
      </c>
      <c r="F39" s="23">
        <v>16594.183259999998</v>
      </c>
      <c r="G39" s="23">
        <v>39829.427649999998</v>
      </c>
      <c r="H39" s="374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  <c r="Q39" s="23">
        <v>3151.5088500000002</v>
      </c>
      <c r="R39" s="23">
        <v>4007.4419100000005</v>
      </c>
      <c r="S39" s="64">
        <f>IFERROR(R39/Q39-1,0)</f>
        <v>0.27159468709726142</v>
      </c>
      <c r="T39" s="91">
        <f>R39-Q39</f>
        <v>855.9330600000003</v>
      </c>
      <c r="U39" s="23">
        <v>6655.9331000000011</v>
      </c>
      <c r="V39" s="23">
        <v>6502.6461699999973</v>
      </c>
      <c r="W39" s="64">
        <f>IFERROR(V39/U39-1,0)</f>
        <v>-2.3030118797318422E-2</v>
      </c>
      <c r="X39" s="91">
        <f>V39-U39</f>
        <v>-153.28693000000385</v>
      </c>
      <c r="Y39" s="23">
        <v>5374.6025400000017</v>
      </c>
      <c r="Z39" s="23"/>
      <c r="AA39" s="57">
        <f>Z39/Y39-1</f>
        <v>-1</v>
      </c>
      <c r="AB39" s="91">
        <f t="shared" si="35"/>
        <v>-5374.6025400000017</v>
      </c>
      <c r="AC39" s="23">
        <v>14851.395950000002</v>
      </c>
      <c r="AD39" s="23"/>
      <c r="AE39" s="57">
        <f>AD39/AC39-1</f>
        <v>-1</v>
      </c>
      <c r="AF39" s="91">
        <f t="shared" si="36"/>
        <v>-14851.395950000002</v>
      </c>
      <c r="AG39" s="23">
        <f t="shared" si="37"/>
        <v>9807.4419500000004</v>
      </c>
      <c r="AH39" s="23">
        <f t="shared" ref="AH39:AH43" si="38">R39+V39+Z39+AD39</f>
        <v>10510.088079999998</v>
      </c>
      <c r="AI39" s="57">
        <f>IFERROR(AH39/AG39-1,0)</f>
        <v>7.1644179346888492E-2</v>
      </c>
      <c r="AJ39" s="91">
        <f>AH39-AG39</f>
        <v>702.64612999999736</v>
      </c>
    </row>
    <row r="40" spans="1:36">
      <c r="A40" s="325" t="s">
        <v>495</v>
      </c>
      <c r="B40" s="316"/>
      <c r="C40" s="373">
        <v>9403</v>
      </c>
      <c r="D40" s="373">
        <v>8960</v>
      </c>
      <c r="E40" s="373">
        <v>10648.179258574701</v>
      </c>
      <c r="F40" s="23">
        <v>14081.99249759946</v>
      </c>
      <c r="G40" s="23">
        <v>17594.58786</v>
      </c>
      <c r="H40" s="374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  <c r="Q40" s="23">
        <v>3271.5946142935682</v>
      </c>
      <c r="R40" s="23">
        <v>3794.3004044555428</v>
      </c>
      <c r="S40" s="64">
        <f t="shared" ref="S40:S42" si="39">IFERROR(R40/Q40-1,0)</f>
        <v>0.15977095324655366</v>
      </c>
      <c r="T40" s="91">
        <f t="shared" ref="T40:T43" si="40">R40-Q40</f>
        <v>522.70579016197462</v>
      </c>
      <c r="U40" s="23">
        <v>3124.345991997342</v>
      </c>
      <c r="V40" s="23">
        <v>4558.9724094277735</v>
      </c>
      <c r="W40" s="64">
        <f t="shared" ref="W40:W42" si="41">IFERROR(V40/U40-1,0)</f>
        <v>0.45917655122226031</v>
      </c>
      <c r="X40" s="91">
        <f t="shared" ref="X40:X43" si="42">V40-U40</f>
        <v>1434.6264174304315</v>
      </c>
      <c r="Y40" s="23">
        <v>3272.279457282315</v>
      </c>
      <c r="Z40" s="23"/>
      <c r="AA40" s="57">
        <f>Z40/Y40-1</f>
        <v>-1</v>
      </c>
      <c r="AB40" s="91">
        <f t="shared" si="35"/>
        <v>-3272.279457282315</v>
      </c>
      <c r="AC40" s="23">
        <v>3701.6824100627505</v>
      </c>
      <c r="AD40" s="23"/>
      <c r="AE40" s="57">
        <f>AD40/AC40-1</f>
        <v>-1</v>
      </c>
      <c r="AF40" s="91">
        <f t="shared" si="36"/>
        <v>-3701.6824100627505</v>
      </c>
      <c r="AG40" s="23">
        <f t="shared" si="37"/>
        <v>6395.9406062909102</v>
      </c>
      <c r="AH40" s="23">
        <f t="shared" si="38"/>
        <v>8353.2728138833154</v>
      </c>
      <c r="AI40" s="57">
        <f t="shared" ref="AI40:AI42" si="43">IFERROR(AH40/AG40-1,0)</f>
        <v>0.30602726449135798</v>
      </c>
      <c r="AJ40" s="91">
        <f t="shared" ref="AJ40:AJ43" si="44">AH40-AG40</f>
        <v>1957.3322075924052</v>
      </c>
    </row>
    <row r="41" spans="1:36">
      <c r="A41" s="325" t="s">
        <v>484</v>
      </c>
      <c r="B41" s="316"/>
      <c r="C41" s="373">
        <v>-9288</v>
      </c>
      <c r="D41" s="373">
        <v>-3374</v>
      </c>
      <c r="E41" s="373">
        <v>-29310</v>
      </c>
      <c r="F41" s="23">
        <v>-40568.457139999999</v>
      </c>
      <c r="G41" s="23">
        <v>-58735.880399999995</v>
      </c>
      <c r="H41" s="374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  <c r="Q41" s="23">
        <v>-1367.2563799999998</v>
      </c>
      <c r="R41" s="23">
        <v>-7636.7620100000013</v>
      </c>
      <c r="S41" s="64">
        <f t="shared" si="39"/>
        <v>4.5854645271430385</v>
      </c>
      <c r="T41" s="91">
        <f t="shared" si="40"/>
        <v>-6269.5056300000015</v>
      </c>
      <c r="U41" s="23">
        <v>-3450.2781800000012</v>
      </c>
      <c r="V41" s="23">
        <v>-11048.701899999996</v>
      </c>
      <c r="W41" s="64">
        <f t="shared" si="41"/>
        <v>2.2022640852686242</v>
      </c>
      <c r="X41" s="91">
        <f t="shared" si="42"/>
        <v>-7598.4237199999952</v>
      </c>
      <c r="Y41" s="23">
        <v>-8572.800849999996</v>
      </c>
      <c r="Z41" s="23"/>
      <c r="AA41" s="57">
        <f>Z41/Y41-1</f>
        <v>-1</v>
      </c>
      <c r="AB41" s="91">
        <f t="shared" si="35"/>
        <v>8572.800849999996</v>
      </c>
      <c r="AC41" s="23">
        <v>-11677.025309999999</v>
      </c>
      <c r="AD41" s="23"/>
      <c r="AE41" s="57">
        <f>AD41/AC41-1</f>
        <v>-1</v>
      </c>
      <c r="AF41" s="91">
        <f t="shared" si="36"/>
        <v>11677.025309999999</v>
      </c>
      <c r="AG41" s="23">
        <f t="shared" si="37"/>
        <v>-4817.534560000001</v>
      </c>
      <c r="AH41" s="23">
        <f t="shared" si="38"/>
        <v>-18685.463909999999</v>
      </c>
      <c r="AI41" s="57">
        <f t="shared" si="43"/>
        <v>2.8786361939456424</v>
      </c>
      <c r="AJ41" s="91">
        <f t="shared" si="44"/>
        <v>-13867.929349999999</v>
      </c>
    </row>
    <row r="42" spans="1:36">
      <c r="A42" s="325" t="s">
        <v>496</v>
      </c>
      <c r="B42" s="316"/>
      <c r="C42" s="374">
        <v>-2070</v>
      </c>
      <c r="D42" s="375">
        <v>-6459</v>
      </c>
      <c r="E42" s="375">
        <v>-7106.2640999999985</v>
      </c>
      <c r="F42" s="23">
        <v>-7079.9619980000007</v>
      </c>
      <c r="G42" s="23">
        <v>-7222.3714499999996</v>
      </c>
      <c r="H42" s="374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  <c r="Q42" s="23">
        <v>-724.82547541100007</v>
      </c>
      <c r="R42" s="23">
        <f>R31</f>
        <v>-6079.5761400000001</v>
      </c>
      <c r="S42" s="64">
        <f t="shared" si="39"/>
        <v>7.3876413650509161</v>
      </c>
      <c r="T42" s="91">
        <f t="shared" si="40"/>
        <v>-5354.7506645889998</v>
      </c>
      <c r="U42" s="23">
        <v>-1726.7003300000001</v>
      </c>
      <c r="V42" s="23">
        <v>-6053.87554</v>
      </c>
      <c r="W42" s="64">
        <f t="shared" si="41"/>
        <v>2.506037170908515</v>
      </c>
      <c r="X42" s="91">
        <f t="shared" si="42"/>
        <v>-4327.1752099999994</v>
      </c>
      <c r="Y42" s="23">
        <v>-2756.4472499999997</v>
      </c>
      <c r="Z42" s="23"/>
      <c r="AA42" s="57"/>
      <c r="AB42" s="91">
        <f t="shared" si="35"/>
        <v>2756.4472499999997</v>
      </c>
      <c r="AC42" s="23">
        <v>-6312.8740799999996</v>
      </c>
      <c r="AD42" s="23"/>
      <c r="AE42" s="57"/>
      <c r="AF42" s="91">
        <f t="shared" si="36"/>
        <v>6312.8740799999996</v>
      </c>
      <c r="AG42" s="23">
        <f t="shared" si="37"/>
        <v>-2451.525805411</v>
      </c>
      <c r="AH42" s="23">
        <f t="shared" si="38"/>
        <v>-12133.45168</v>
      </c>
      <c r="AI42" s="57">
        <f t="shared" si="43"/>
        <v>3.9493469141622271</v>
      </c>
      <c r="AJ42" s="91">
        <f t="shared" si="44"/>
        <v>-9681.9258745890002</v>
      </c>
    </row>
    <row r="43" spans="1:36">
      <c r="A43" s="325" t="s">
        <v>497</v>
      </c>
      <c r="B43" s="316"/>
      <c r="C43" s="373">
        <v>-10855</v>
      </c>
      <c r="D43" s="373">
        <v>-11196</v>
      </c>
      <c r="E43" s="373">
        <v>-4178</v>
      </c>
      <c r="F43" s="23">
        <v>-1908.3374199999998</v>
      </c>
      <c r="G43" s="23">
        <v>-1818.1681300000002</v>
      </c>
      <c r="H43" s="374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  <c r="Q43" s="23">
        <v>-2805.6748700000003</v>
      </c>
      <c r="R43" s="23">
        <f>R32</f>
        <v>5360.7877100000005</v>
      </c>
      <c r="S43" s="64">
        <f>IFERROR(R43/Q43-1,0)</f>
        <v>-2.9106945595588556</v>
      </c>
      <c r="T43" s="91">
        <f t="shared" si="40"/>
        <v>8166.4625800000013</v>
      </c>
      <c r="U43" s="23">
        <v>-3667.79448</v>
      </c>
      <c r="V43" s="23">
        <v>1857.0732099999998</v>
      </c>
      <c r="W43" s="64">
        <f>IFERROR(V43/U43-1,0)</f>
        <v>-1.5063187755274663</v>
      </c>
      <c r="X43" s="91">
        <f t="shared" si="42"/>
        <v>5524.86769</v>
      </c>
      <c r="Y43" s="23">
        <v>930.34099999999989</v>
      </c>
      <c r="Z43" s="23"/>
      <c r="AA43" s="57">
        <f>Z43/Y43-1</f>
        <v>-1</v>
      </c>
      <c r="AB43" s="91">
        <f t="shared" si="35"/>
        <v>-930.34099999999989</v>
      </c>
      <c r="AC43" s="23">
        <v>-3204.5039200000001</v>
      </c>
      <c r="AD43" s="23"/>
      <c r="AE43" s="57">
        <f>AD43/AC43-1</f>
        <v>-1</v>
      </c>
      <c r="AF43" s="91">
        <f t="shared" si="36"/>
        <v>3204.5039200000001</v>
      </c>
      <c r="AG43" s="23">
        <f t="shared" si="37"/>
        <v>-6473.4693500000003</v>
      </c>
      <c r="AH43" s="23">
        <f t="shared" si="38"/>
        <v>7217.8609200000001</v>
      </c>
      <c r="AI43" s="57">
        <f>IFERROR(AH43/AG43-1,0)</f>
        <v>-2.1149911322280377</v>
      </c>
      <c r="AJ43" s="91">
        <f t="shared" si="44"/>
        <v>13691.33027</v>
      </c>
    </row>
    <row r="44" spans="1:36">
      <c r="A44" s="310" t="s">
        <v>53</v>
      </c>
      <c r="B44" s="311"/>
      <c r="C44" s="366">
        <f>C35-SUM(C38:C43)</f>
        <v>97725</v>
      </c>
      <c r="D44" s="366">
        <f t="shared" ref="D44:L44" si="45">D35-SUM(D38:D43)</f>
        <v>70184</v>
      </c>
      <c r="E44" s="366">
        <f t="shared" si="45"/>
        <v>57951.084841425298</v>
      </c>
      <c r="F44" s="366">
        <f t="shared" si="45"/>
        <v>78256.921220400545</v>
      </c>
      <c r="G44" s="366">
        <f t="shared" si="45"/>
        <v>46396.404469999994</v>
      </c>
      <c r="H44" s="366">
        <f t="shared" si="45"/>
        <v>22959.628080100942</v>
      </c>
      <c r="I44" s="366">
        <f t="shared" si="45"/>
        <v>140.88288430401917</v>
      </c>
      <c r="J44" s="366">
        <f t="shared" si="45"/>
        <v>8375.8018714157861</v>
      </c>
      <c r="K44" s="366">
        <f t="shared" si="45"/>
        <v>-114404.52688279217</v>
      </c>
      <c r="L44" s="366">
        <f t="shared" si="45"/>
        <v>1433</v>
      </c>
      <c r="M44" s="366">
        <v>59518.578614169382</v>
      </c>
      <c r="N44" s="366">
        <v>65350.858000146785</v>
      </c>
      <c r="O44" s="366">
        <v>71294.746432698041</v>
      </c>
      <c r="P44" s="366">
        <v>77303.925824260077</v>
      </c>
      <c r="Q44" s="27">
        <v>6780.8256323528021</v>
      </c>
      <c r="R44" s="8">
        <f>R35-SUM(R38:R43)</f>
        <v>7723.7564852264186</v>
      </c>
      <c r="S44" s="60">
        <f>IFERROR(R44/Q44-1,0)</f>
        <v>0.13905841323727408</v>
      </c>
      <c r="T44" s="90">
        <f>R44-Q44</f>
        <v>942.93085287361646</v>
      </c>
      <c r="U44" s="8">
        <v>21646.587116887422</v>
      </c>
      <c r="V44" s="8">
        <f>V35-SUM(V38:V43)</f>
        <v>26120.741209674197</v>
      </c>
      <c r="W44" s="60">
        <f>IFERROR(V44/U44-1,0)</f>
        <v>0.20669097020362615</v>
      </c>
      <c r="X44" s="90">
        <f>V44-U44</f>
        <v>4474.1540927867754</v>
      </c>
      <c r="Y44" s="8">
        <v>17575.017474441287</v>
      </c>
      <c r="Z44" s="8"/>
      <c r="AA44" s="60">
        <f>IFERROR(Z44/Y44-1,0)</f>
        <v>-1</v>
      </c>
      <c r="AB44" s="90">
        <f>Z44-Y44</f>
        <v>-17575.017474441287</v>
      </c>
      <c r="AC44" s="8">
        <v>31300.599064872145</v>
      </c>
      <c r="AD44" s="8"/>
      <c r="AE44" s="60">
        <f>IFERROR(AD44/AC44-1,0)</f>
        <v>-1</v>
      </c>
      <c r="AF44" s="90">
        <f>AD44-AC44</f>
        <v>-31300.599064872145</v>
      </c>
      <c r="AG44" s="8">
        <f>AG35-SUM(AG38:AG43)</f>
        <v>28427.309284946612</v>
      </c>
      <c r="AH44" s="8">
        <f>AH35-SUM(AH38:AH43)</f>
        <v>33844.497694900609</v>
      </c>
      <c r="AI44" s="60">
        <f>IFERROR(AH44/AG44-1,0)</f>
        <v>0.19056282659937196</v>
      </c>
      <c r="AJ44" s="90">
        <f>AH44-AG44</f>
        <v>5417.1884099539966</v>
      </c>
    </row>
    <row r="45" spans="1:36">
      <c r="A45" s="342" t="s">
        <v>498</v>
      </c>
      <c r="B45" s="345"/>
      <c r="C45" s="376">
        <v>22621</v>
      </c>
      <c r="D45" s="376">
        <v>1706.677077851524</v>
      </c>
      <c r="E45" s="376">
        <v>-799.577</v>
      </c>
      <c r="F45" s="23">
        <v>-1206.526360097015</v>
      </c>
      <c r="G45" s="23">
        <v>-63.302908076515223</v>
      </c>
      <c r="H45" s="376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  <c r="Q45" s="23">
        <v>-584</v>
      </c>
      <c r="R45" s="23">
        <v>-598.73218000000008</v>
      </c>
      <c r="S45" s="64">
        <f>IFERROR(R45/Q45-1,0)</f>
        <v>2.5226335616438611E-2</v>
      </c>
      <c r="T45" s="91">
        <f t="shared" ref="T45:T51" si="46">R45-Q45</f>
        <v>-14.732180000000085</v>
      </c>
      <c r="U45" s="23">
        <v>-647</v>
      </c>
      <c r="V45" s="23">
        <v>-483.44676999999996</v>
      </c>
      <c r="W45" s="64">
        <f>IFERROR(V45/U45-1,0)</f>
        <v>-0.25278706336939727</v>
      </c>
      <c r="X45" s="91">
        <f t="shared" ref="X45:X51" si="47">V45-U45</f>
        <v>163.55323000000004</v>
      </c>
      <c r="Y45" s="23">
        <v>-380.59745000000004</v>
      </c>
      <c r="Z45" s="23"/>
      <c r="AA45" s="57">
        <f>Z45/Y45-1</f>
        <v>-1</v>
      </c>
      <c r="AB45" s="91">
        <f t="shared" si="35"/>
        <v>380.59745000000004</v>
      </c>
      <c r="AC45" s="23">
        <v>-172.41657000000001</v>
      </c>
      <c r="AD45" s="23"/>
      <c r="AE45" s="57">
        <f>AD45/AC45-1</f>
        <v>-1</v>
      </c>
      <c r="AF45" s="91">
        <f t="shared" ref="AF45:AF50" si="48">AD45-AC45</f>
        <v>172.41657000000001</v>
      </c>
      <c r="AG45" s="23">
        <f t="shared" ref="AG45:AG51" si="49">Q45+U45</f>
        <v>-1231</v>
      </c>
      <c r="AH45" s="23">
        <f>R45+V45+Z45+AD45</f>
        <v>-1082.17895</v>
      </c>
      <c r="AI45" s="57">
        <f>IFERROR(AH45/AG45-1,0)</f>
        <v>-0.12089443541835909</v>
      </c>
      <c r="AJ45" s="91">
        <f t="shared" ref="AJ45:AJ50" si="50">AH45-AG45</f>
        <v>148.82105000000001</v>
      </c>
    </row>
    <row r="46" spans="1:36">
      <c r="A46" s="343" t="s">
        <v>499</v>
      </c>
      <c r="B46" s="344"/>
      <c r="C46" s="376">
        <v>7150</v>
      </c>
      <c r="D46" s="376">
        <v>-1159.8243400000001</v>
      </c>
      <c r="E46" s="376">
        <v>-11678.14939</v>
      </c>
      <c r="F46" s="23">
        <v>1037.0412756000001</v>
      </c>
      <c r="G46" s="23">
        <v>-19758.476630000001</v>
      </c>
      <c r="H46" s="376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  <c r="Q46" s="23">
        <v>0</v>
      </c>
      <c r="R46" s="23">
        <v>0</v>
      </c>
      <c r="S46" s="64">
        <f>IFERROR(R46/Q46-1,0)</f>
        <v>0</v>
      </c>
      <c r="T46" s="91">
        <f t="shared" si="46"/>
        <v>0</v>
      </c>
      <c r="U46" s="23"/>
      <c r="V46" s="23"/>
      <c r="W46" s="64">
        <f>IFERROR(V46/U46-1,0)</f>
        <v>0</v>
      </c>
      <c r="X46" s="91">
        <f t="shared" si="47"/>
        <v>0</v>
      </c>
      <c r="Y46" s="23"/>
      <c r="Z46" s="23"/>
      <c r="AA46" s="57">
        <f>IFERROR(Z46/Y46-1,0)</f>
        <v>0</v>
      </c>
      <c r="AB46" s="91">
        <f t="shared" si="35"/>
        <v>0</v>
      </c>
      <c r="AC46" s="23">
        <v>0</v>
      </c>
      <c r="AD46" s="23"/>
      <c r="AE46" s="57">
        <f>IFERROR(AD46/AC46-1,0)</f>
        <v>0</v>
      </c>
      <c r="AF46" s="91">
        <f t="shared" si="48"/>
        <v>0</v>
      </c>
      <c r="AG46" s="23">
        <f t="shared" si="49"/>
        <v>0</v>
      </c>
      <c r="AH46" s="23">
        <f t="shared" ref="AH46:AH51" si="51">R46+V46+Z46+AD46</f>
        <v>0</v>
      </c>
      <c r="AI46" s="57">
        <f>IFERROR(AH46/AG46-1,0)</f>
        <v>0</v>
      </c>
      <c r="AJ46" s="91">
        <f t="shared" si="50"/>
        <v>0</v>
      </c>
    </row>
    <row r="47" spans="1:36">
      <c r="A47" s="343" t="s">
        <v>500</v>
      </c>
      <c r="B47" s="344"/>
      <c r="C47" s="373">
        <v>0</v>
      </c>
      <c r="D47" s="376">
        <v>0</v>
      </c>
      <c r="E47" s="373">
        <v>-743.67</v>
      </c>
      <c r="F47" s="23">
        <v>-1509.1870000000001</v>
      </c>
      <c r="G47" s="23">
        <v>5375.1013999999996</v>
      </c>
      <c r="H47" s="376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64">
        <f>IFERROR(R47/Q47-1,0)</f>
        <v>0</v>
      </c>
      <c r="T47" s="91">
        <f t="shared" si="46"/>
        <v>0</v>
      </c>
      <c r="U47" s="23"/>
      <c r="V47" s="23"/>
      <c r="W47" s="64">
        <f>IFERROR(V47/U47-1,0)</f>
        <v>0</v>
      </c>
      <c r="X47" s="91">
        <f t="shared" si="47"/>
        <v>0</v>
      </c>
      <c r="Y47" s="23"/>
      <c r="Z47" s="23"/>
      <c r="AA47" s="57">
        <f>IFERROR(Z47/Y47-1,0)</f>
        <v>0</v>
      </c>
      <c r="AB47" s="91">
        <f t="shared" si="35"/>
        <v>0</v>
      </c>
      <c r="AC47" s="23">
        <v>0</v>
      </c>
      <c r="AD47" s="23"/>
      <c r="AE47" s="57">
        <f>IFERROR(AD47/AC47-1,0)</f>
        <v>0</v>
      </c>
      <c r="AF47" s="91">
        <f t="shared" si="48"/>
        <v>0</v>
      </c>
      <c r="AG47" s="23">
        <f t="shared" si="49"/>
        <v>0</v>
      </c>
      <c r="AH47" s="23">
        <f t="shared" si="51"/>
        <v>0</v>
      </c>
      <c r="AI47" s="57">
        <f>IFERROR(AH47/AG47-1,0)</f>
        <v>0</v>
      </c>
      <c r="AJ47" s="91">
        <f t="shared" si="50"/>
        <v>0</v>
      </c>
    </row>
    <row r="48" spans="1:36">
      <c r="A48" s="343" t="s">
        <v>501</v>
      </c>
      <c r="B48" s="344"/>
      <c r="C48" s="373">
        <v>0</v>
      </c>
      <c r="D48" s="376">
        <v>0</v>
      </c>
      <c r="E48" s="373">
        <v>-4554.58554</v>
      </c>
      <c r="F48" s="23">
        <v>-2635.1899100000001</v>
      </c>
      <c r="G48" s="23">
        <v>-771.45402000000001</v>
      </c>
      <c r="H48" s="376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64">
        <f t="shared" ref="S48:S51" si="52">IFERROR(R48/Q48-1,0)</f>
        <v>0</v>
      </c>
      <c r="T48" s="91">
        <f t="shared" si="46"/>
        <v>0</v>
      </c>
      <c r="U48" s="23"/>
      <c r="V48" s="23"/>
      <c r="W48" s="64">
        <f t="shared" ref="W48:W51" si="53">IFERROR(V48/U48-1,0)</f>
        <v>0</v>
      </c>
      <c r="X48" s="91">
        <f t="shared" si="47"/>
        <v>0</v>
      </c>
      <c r="Y48" s="23"/>
      <c r="Z48" s="23"/>
      <c r="AA48" s="57" t="e">
        <f>Z48/Y48-1</f>
        <v>#DIV/0!</v>
      </c>
      <c r="AB48" s="91">
        <f t="shared" si="35"/>
        <v>0</v>
      </c>
      <c r="AC48" s="23">
        <v>0</v>
      </c>
      <c r="AD48" s="23"/>
      <c r="AE48" s="57" t="e">
        <f>AD48/AC48-1</f>
        <v>#DIV/0!</v>
      </c>
      <c r="AF48" s="91">
        <f t="shared" si="48"/>
        <v>0</v>
      </c>
      <c r="AG48" s="23">
        <f t="shared" si="49"/>
        <v>0</v>
      </c>
      <c r="AH48" s="23">
        <f t="shared" si="51"/>
        <v>0</v>
      </c>
      <c r="AI48" s="57">
        <f t="shared" ref="AI48:AI50" si="54">IFERROR(AH48/AG48-1,0)</f>
        <v>0</v>
      </c>
      <c r="AJ48" s="91">
        <f t="shared" si="50"/>
        <v>0</v>
      </c>
    </row>
    <row r="49" spans="1:36">
      <c r="A49" s="325" t="s">
        <v>502</v>
      </c>
      <c r="B49" s="316"/>
      <c r="C49" s="373">
        <v>-877</v>
      </c>
      <c r="D49" s="376">
        <v>0</v>
      </c>
      <c r="E49" s="373">
        <v>0</v>
      </c>
      <c r="F49" s="23">
        <v>0</v>
      </c>
      <c r="G49" s="23">
        <v>0</v>
      </c>
      <c r="H49" s="376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64">
        <f t="shared" si="52"/>
        <v>0</v>
      </c>
      <c r="T49" s="91">
        <f t="shared" si="46"/>
        <v>0</v>
      </c>
      <c r="U49" s="23"/>
      <c r="V49" s="23"/>
      <c r="W49" s="64">
        <f t="shared" si="53"/>
        <v>0</v>
      </c>
      <c r="X49" s="91">
        <f t="shared" si="47"/>
        <v>0</v>
      </c>
      <c r="Y49" s="23"/>
      <c r="Z49" s="23"/>
      <c r="AA49" s="57" t="e">
        <f>Z49/Y49-1</f>
        <v>#DIV/0!</v>
      </c>
      <c r="AB49" s="91">
        <f t="shared" si="35"/>
        <v>0</v>
      </c>
      <c r="AC49" s="23">
        <v>0</v>
      </c>
      <c r="AD49" s="23"/>
      <c r="AE49" s="57" t="e">
        <f>AD49/AC49-1</f>
        <v>#DIV/0!</v>
      </c>
      <c r="AF49" s="91">
        <f t="shared" si="48"/>
        <v>0</v>
      </c>
      <c r="AG49" s="23">
        <f t="shared" si="49"/>
        <v>0</v>
      </c>
      <c r="AH49" s="23">
        <f t="shared" si="51"/>
        <v>0</v>
      </c>
      <c r="AI49" s="57">
        <f t="shared" si="54"/>
        <v>0</v>
      </c>
      <c r="AJ49" s="91">
        <f t="shared" si="50"/>
        <v>0</v>
      </c>
    </row>
    <row r="50" spans="1:36">
      <c r="A50" s="343" t="s">
        <v>503</v>
      </c>
      <c r="B50" s="344"/>
      <c r="C50" s="373">
        <v>-9892</v>
      </c>
      <c r="D50" s="376">
        <v>-2424.9584500000001</v>
      </c>
      <c r="E50" s="373">
        <v>-6241.5990000000002</v>
      </c>
      <c r="F50" s="23">
        <v>-3830.0338200000001</v>
      </c>
      <c r="G50" s="23">
        <v>-4099.9849999999997</v>
      </c>
      <c r="H50" s="376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  <c r="Q50" s="23">
        <v>-2503.0944028940721</v>
      </c>
      <c r="R50" s="23">
        <v>-3719.2742744555499</v>
      </c>
      <c r="S50" s="64">
        <f t="shared" si="52"/>
        <v>0.48587055692159797</v>
      </c>
      <c r="T50" s="91">
        <f t="shared" si="46"/>
        <v>-1216.1798715614777</v>
      </c>
      <c r="U50" s="23">
        <v>-3293.1901219973424</v>
      </c>
      <c r="V50" s="23">
        <v>-5517.3661294277736</v>
      </c>
      <c r="W50" s="64">
        <f t="shared" si="53"/>
        <v>0.67538645660744701</v>
      </c>
      <c r="X50" s="91">
        <f t="shared" si="47"/>
        <v>-2224.1760074304311</v>
      </c>
      <c r="Y50" s="23">
        <v>-3098.1284972823141</v>
      </c>
      <c r="Z50" s="23"/>
      <c r="AA50" s="57">
        <f>Z50/Y50-1</f>
        <v>-1</v>
      </c>
      <c r="AB50" s="91">
        <f t="shared" si="35"/>
        <v>3098.1284972823141</v>
      </c>
      <c r="AC50" s="23">
        <v>-5198.7876651896295</v>
      </c>
      <c r="AD50" s="23"/>
      <c r="AE50" s="57">
        <f>AD50/AC50-1</f>
        <v>-1</v>
      </c>
      <c r="AF50" s="91">
        <f t="shared" si="48"/>
        <v>5198.7876651896295</v>
      </c>
      <c r="AG50" s="23">
        <f t="shared" si="49"/>
        <v>-5796.2845248914145</v>
      </c>
      <c r="AH50" s="23">
        <f t="shared" si="51"/>
        <v>-9236.6404038833243</v>
      </c>
      <c r="AI50" s="57">
        <f t="shared" si="54"/>
        <v>0.59354503116914548</v>
      </c>
      <c r="AJ50" s="91">
        <f t="shared" si="50"/>
        <v>-3440.3558789919098</v>
      </c>
    </row>
    <row r="51" spans="1:36">
      <c r="A51" s="343" t="s">
        <v>504</v>
      </c>
      <c r="B51" s="346"/>
      <c r="C51" s="377">
        <v>0</v>
      </c>
      <c r="D51" s="377">
        <v>-8482.2513770875557</v>
      </c>
      <c r="E51" s="377">
        <v>-12648.48400233217</v>
      </c>
      <c r="F51" s="23">
        <v>-15161.074877599462</v>
      </c>
      <c r="G51" s="23">
        <v>-18342.442920000001</v>
      </c>
      <c r="H51" s="378">
        <v>-16796.437820203028</v>
      </c>
      <c r="I51" s="336"/>
      <c r="J51" s="336">
        <v>28336.202229999999</v>
      </c>
      <c r="K51" s="336">
        <v>-110584.390763918</v>
      </c>
      <c r="L51" s="336">
        <v>0</v>
      </c>
      <c r="M51" s="336">
        <v>0</v>
      </c>
      <c r="N51" s="336">
        <v>0</v>
      </c>
      <c r="O51" s="336">
        <v>0</v>
      </c>
      <c r="P51" s="336">
        <v>0</v>
      </c>
      <c r="Q51" s="336">
        <v>0</v>
      </c>
      <c r="R51" s="23">
        <v>0</v>
      </c>
      <c r="S51" s="337">
        <f t="shared" si="52"/>
        <v>0</v>
      </c>
      <c r="T51" s="338">
        <f t="shared" si="46"/>
        <v>0</v>
      </c>
      <c r="U51" s="336"/>
      <c r="V51" s="336"/>
      <c r="W51" s="337">
        <f t="shared" si="53"/>
        <v>0</v>
      </c>
      <c r="X51" s="338">
        <f t="shared" si="47"/>
        <v>0</v>
      </c>
      <c r="Y51" s="336"/>
      <c r="Z51" s="336"/>
      <c r="AA51" s="75"/>
      <c r="AB51" s="338"/>
      <c r="AC51" s="336"/>
      <c r="AD51" s="336"/>
      <c r="AE51" s="75"/>
      <c r="AF51" s="338"/>
      <c r="AG51" s="23">
        <f t="shared" si="49"/>
        <v>0</v>
      </c>
      <c r="AH51" s="23">
        <f t="shared" si="51"/>
        <v>0</v>
      </c>
      <c r="AI51" s="57">
        <f t="shared" ref="AI51" si="55">IFERROR(AH51/AG51-1,0)</f>
        <v>0</v>
      </c>
      <c r="AJ51" s="91">
        <f t="shared" ref="AJ51" si="56">AH51-AG51</f>
        <v>0</v>
      </c>
    </row>
    <row r="52" spans="1:36" ht="15" thickBot="1">
      <c r="A52" s="314" t="s">
        <v>505</v>
      </c>
      <c r="B52" s="315"/>
      <c r="C52" s="379">
        <f>C44-SUM(C45:C51)</f>
        <v>78723</v>
      </c>
      <c r="D52" s="379">
        <f>D44-SUM(D45:D51)</f>
        <v>80544.357089236029</v>
      </c>
      <c r="E52" s="379">
        <f t="shared" ref="E52:G52" si="57">E44-SUM(E45:E51)</f>
        <v>94617.149773757468</v>
      </c>
      <c r="F52" s="379">
        <f>F44-SUM(F45:F51)</f>
        <v>101561.89191249703</v>
      </c>
      <c r="G52" s="379">
        <f t="shared" si="57"/>
        <v>84056.964548076503</v>
      </c>
      <c r="H52" s="379">
        <f>H44-SUM(H45:H51)</f>
        <v>46331.677970303972</v>
      </c>
      <c r="I52" s="379">
        <f t="shared" ref="I52:L52" si="58">I44-SUM(I45:I51)</f>
        <v>22014.294035117142</v>
      </c>
      <c r="J52" s="379">
        <f t="shared" si="58"/>
        <v>7990.9613684409251</v>
      </c>
      <c r="K52" s="379">
        <f t="shared" si="58"/>
        <v>15173.008459606499</v>
      </c>
      <c r="L52" s="379">
        <f t="shared" si="58"/>
        <v>6005</v>
      </c>
      <c r="M52" s="381">
        <v>63180.4082839658</v>
      </c>
      <c r="N52" s="381">
        <v>82414.955259392445</v>
      </c>
      <c r="O52" s="381">
        <v>86722.632395882611</v>
      </c>
      <c r="P52" s="381">
        <v>93181.14053162343</v>
      </c>
      <c r="Q52" s="94">
        <v>9867.9200352468742</v>
      </c>
      <c r="R52" s="94">
        <f>R44-R45-R50</f>
        <v>12041.762939681968</v>
      </c>
      <c r="S52" s="63">
        <f>R52/Q52-1</f>
        <v>0.22029393191983937</v>
      </c>
      <c r="T52" s="93">
        <f>R52-Q52</f>
        <v>2173.8429044350942</v>
      </c>
      <c r="U52" s="94">
        <v>25586.777238884766</v>
      </c>
      <c r="V52" s="94">
        <f>V44-V45-V50</f>
        <v>32121.55410910197</v>
      </c>
      <c r="W52" s="63">
        <f>V52/U52-1</f>
        <v>0.25539663745874819</v>
      </c>
      <c r="X52" s="93">
        <f>V52-U52</f>
        <v>6534.7768702172034</v>
      </c>
      <c r="Y52" s="94">
        <v>21053.7434217236</v>
      </c>
      <c r="Z52" s="94"/>
      <c r="AA52" s="63">
        <f>Z52/Y52-1</f>
        <v>-1</v>
      </c>
      <c r="AB52" s="93">
        <f>Z52-Y52</f>
        <v>-21053.7434217236</v>
      </c>
      <c r="AC52" s="94">
        <v>36671.803300061772</v>
      </c>
      <c r="AD52" s="94"/>
      <c r="AE52" s="63">
        <f>AD52/AC52-1</f>
        <v>-1</v>
      </c>
      <c r="AF52" s="93">
        <f>AD52-AC52</f>
        <v>-36671.803300061772</v>
      </c>
      <c r="AG52" s="94">
        <f>AG44-SUM(AG45:AG51)</f>
        <v>35454.593809838028</v>
      </c>
      <c r="AH52" s="94">
        <f>AH44-SUM(AH45:AH51)</f>
        <v>44163.317048783931</v>
      </c>
      <c r="AI52" s="63">
        <f>AH52/AG52-1</f>
        <v>0.24563032045030475</v>
      </c>
      <c r="AJ52" s="93">
        <f>AH52-AG52</f>
        <v>8708.7232389459023</v>
      </c>
    </row>
    <row r="53" spans="1:36">
      <c r="A53" s="312" t="s">
        <v>506</v>
      </c>
      <c r="B53" s="312"/>
      <c r="C53" s="9">
        <f>C52/C8</f>
        <v>0.30043506468724956</v>
      </c>
      <c r="D53" s="9">
        <f t="shared" ref="D53:L53" si="59">D52/D8</f>
        <v>0.25756462483513887</v>
      </c>
      <c r="E53" s="9">
        <f t="shared" si="59"/>
        <v>0.21816477182557248</v>
      </c>
      <c r="F53" s="9">
        <f t="shared" si="59"/>
        <v>0.24565502006975018</v>
      </c>
      <c r="G53" s="9">
        <f t="shared" si="59"/>
        <v>0.21157424003965966</v>
      </c>
      <c r="H53" s="9">
        <f t="shared" si="59"/>
        <v>0.12838777434269893</v>
      </c>
      <c r="I53" s="9">
        <f t="shared" si="59"/>
        <v>6.4733453801847654E-2</v>
      </c>
      <c r="J53" s="9">
        <f t="shared" si="59"/>
        <v>2.6140207184488555E-2</v>
      </c>
      <c r="K53" s="9">
        <f t="shared" si="59"/>
        <v>4.7981491790271676E-2</v>
      </c>
      <c r="L53" s="9">
        <f t="shared" si="59"/>
        <v>2.4549545227983059E-2</v>
      </c>
      <c r="M53" s="9">
        <v>0.20095442461733248</v>
      </c>
      <c r="N53" s="9">
        <v>0.23464589777121153</v>
      </c>
      <c r="O53" s="9">
        <v>0.25331807679648072</v>
      </c>
      <c r="P53" s="9">
        <v>0.23278989145472739</v>
      </c>
      <c r="Q53" s="9">
        <v>0.14349904646949727</v>
      </c>
      <c r="R53" s="9">
        <f>R52/R8</f>
        <v>0.13892086451516894</v>
      </c>
      <c r="S53" s="9"/>
      <c r="T53" s="53">
        <f>(R53-Q53)*100</f>
        <v>-0.45781819543283253</v>
      </c>
      <c r="U53" s="9">
        <v>0.25700941665266125</v>
      </c>
      <c r="V53" s="9">
        <f>V52/V8</f>
        <v>0.26347878554796217</v>
      </c>
      <c r="W53" s="9"/>
      <c r="X53" s="53">
        <f>(V53-U53)*100</f>
        <v>0.64693688953009199</v>
      </c>
      <c r="Y53" s="9">
        <v>0.22235820460653427</v>
      </c>
      <c r="Z53" s="9"/>
      <c r="AA53" s="9"/>
      <c r="AB53" s="53">
        <f>(Z53-Y53)*100</f>
        <v>-22.235820460653429</v>
      </c>
      <c r="AC53" s="9">
        <v>0.26714338519671776</v>
      </c>
      <c r="AD53" s="9"/>
      <c r="AE53" s="9"/>
      <c r="AF53" s="53">
        <f>(AD53-AC53)*100</f>
        <v>-26.714338519671777</v>
      </c>
      <c r="AG53" s="9">
        <f>AG52/AG8</f>
        <v>0.21063522175714802</v>
      </c>
      <c r="AH53" s="9">
        <f>AH52/AH8</f>
        <v>0.21171903568782846</v>
      </c>
      <c r="AI53" s="9"/>
      <c r="AJ53" s="53">
        <f>(AH53-AG53)*100</f>
        <v>0.10838139306804384</v>
      </c>
    </row>
    <row r="54" spans="1:36">
      <c r="V54" s="339"/>
      <c r="Z54" s="339"/>
      <c r="AD54" s="339"/>
    </row>
    <row r="55" spans="1:36">
      <c r="V55" s="339"/>
      <c r="Z55" s="339"/>
      <c r="AD55" s="339"/>
    </row>
    <row r="56" spans="1:36">
      <c r="V56" s="339"/>
      <c r="Z56" s="339"/>
      <c r="AD56" s="339"/>
      <c r="AG56"/>
      <c r="AH56"/>
      <c r="AI56"/>
      <c r="AJ56"/>
    </row>
    <row r="57" spans="1:36">
      <c r="AG57"/>
      <c r="AH57"/>
      <c r="AI57"/>
      <c r="AJ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4"/>
  <cols>
    <col min="1" max="1" width="58.5546875" customWidth="1"/>
    <col min="2" max="2" width="1.5546875" customWidth="1"/>
    <col min="3" max="3" width="10.5546875" bestFit="1" customWidth="1"/>
    <col min="4" max="4" width="1.44140625" customWidth="1"/>
    <col min="5" max="5" width="10.88671875" customWidth="1"/>
    <col min="6" max="6" width="1.5546875" customWidth="1"/>
    <col min="7" max="7" width="10.5546875" bestFit="1" customWidth="1"/>
    <col min="8" max="8" width="1.109375" customWidth="1"/>
    <col min="9" max="9" width="9.88671875" bestFit="1" customWidth="1"/>
    <col min="10" max="10" width="9.109375" hidden="1" customWidth="1"/>
    <col min="11" max="11" width="9.5546875" hidden="1" customWidth="1"/>
    <col min="12" max="12" width="11.109375" hidden="1" customWidth="1"/>
    <col min="13" max="13" width="13.109375" hidden="1" customWidth="1"/>
    <col min="14" max="14" width="15.5546875" hidden="1" customWidth="1"/>
    <col min="15" max="15" width="9.5546875" hidden="1" customWidth="1"/>
    <col min="16" max="17" width="9.109375" hidden="1" customWidth="1"/>
    <col min="18" max="18" width="9.88671875" hidden="1" customWidth="1"/>
    <col min="19" max="20" width="0" hidden="1" customWidth="1"/>
  </cols>
  <sheetData>
    <row r="1" spans="1:17">
      <c r="A1" t="s">
        <v>314</v>
      </c>
      <c r="L1" t="s">
        <v>315</v>
      </c>
    </row>
    <row r="2" spans="1:17">
      <c r="N2" t="s">
        <v>316</v>
      </c>
      <c r="O2" t="s">
        <v>317</v>
      </c>
      <c r="P2" t="s">
        <v>255</v>
      </c>
    </row>
    <row r="3" spans="1:17" ht="15" thickBot="1">
      <c r="A3" s="235"/>
      <c r="B3" s="236"/>
      <c r="C3" s="409" t="s">
        <v>263</v>
      </c>
      <c r="D3" s="409"/>
      <c r="E3" s="409"/>
      <c r="F3" s="236"/>
      <c r="G3" s="410" t="s">
        <v>264</v>
      </c>
      <c r="H3" s="410"/>
      <c r="I3" s="410"/>
      <c r="L3" t="s">
        <v>318</v>
      </c>
      <c r="N3" s="237">
        <v>-6461</v>
      </c>
      <c r="O3" s="238">
        <v>-11194</v>
      </c>
      <c r="P3" s="237">
        <v>-326</v>
      </c>
    </row>
    <row r="4" spans="1:17" ht="15" thickBot="1">
      <c r="A4" s="235"/>
      <c r="B4" s="236"/>
      <c r="C4" s="236"/>
      <c r="D4" s="239"/>
      <c r="E4" s="240"/>
      <c r="F4" s="236"/>
      <c r="G4" s="235"/>
      <c r="H4" s="239"/>
      <c r="I4" s="241"/>
      <c r="L4" t="s">
        <v>319</v>
      </c>
      <c r="N4" s="237">
        <v>-6461</v>
      </c>
      <c r="O4" s="238">
        <v>-11194</v>
      </c>
      <c r="P4" s="237">
        <v>-326</v>
      </c>
    </row>
    <row r="5" spans="1:17" ht="15" thickBot="1">
      <c r="A5" s="235"/>
      <c r="B5" s="236"/>
      <c r="C5" s="242">
        <v>2014</v>
      </c>
      <c r="D5" s="236"/>
      <c r="E5" s="242">
        <v>2013</v>
      </c>
      <c r="F5" s="236"/>
      <c r="G5" s="242">
        <v>2014</v>
      </c>
      <c r="H5" s="236"/>
      <c r="I5" s="242">
        <v>2013</v>
      </c>
      <c r="L5" t="s">
        <v>320</v>
      </c>
      <c r="M5" t="s">
        <v>321</v>
      </c>
      <c r="N5" s="84">
        <v>5913</v>
      </c>
      <c r="O5" s="84"/>
    </row>
    <row r="6" spans="1:17">
      <c r="A6" s="235"/>
      <c r="B6" s="236"/>
      <c r="C6" s="236"/>
      <c r="D6" s="236"/>
      <c r="E6" s="236"/>
      <c r="F6" s="236"/>
      <c r="G6" s="235"/>
      <c r="H6" s="236"/>
      <c r="I6" s="235"/>
      <c r="M6" s="243" t="s">
        <v>322</v>
      </c>
      <c r="N6" s="244">
        <f>368+79</f>
        <v>447</v>
      </c>
      <c r="O6" s="84" t="s">
        <v>323</v>
      </c>
    </row>
    <row r="7" spans="1:17">
      <c r="A7" s="245" t="s">
        <v>8</v>
      </c>
      <c r="B7" s="236"/>
      <c r="C7" s="236"/>
      <c r="D7" s="236"/>
      <c r="E7" s="236"/>
      <c r="F7" s="236"/>
      <c r="G7" s="235"/>
      <c r="H7" s="236"/>
      <c r="I7" s="235"/>
      <c r="M7" t="s">
        <v>324</v>
      </c>
      <c r="N7" s="84">
        <v>210</v>
      </c>
      <c r="O7" s="84"/>
    </row>
    <row r="8" spans="1:17">
      <c r="A8" s="246" t="s">
        <v>9</v>
      </c>
      <c r="B8" s="236"/>
      <c r="C8" s="247">
        <v>-5403</v>
      </c>
      <c r="D8" s="247"/>
      <c r="E8" s="248">
        <v>-7721</v>
      </c>
      <c r="F8" s="247"/>
      <c r="G8" s="247">
        <v>-3984</v>
      </c>
      <c r="H8" s="247"/>
      <c r="I8" s="248">
        <v>-4678</v>
      </c>
      <c r="M8" t="s">
        <v>325</v>
      </c>
      <c r="N8" s="84"/>
      <c r="O8" s="84"/>
    </row>
    <row r="9" spans="1:17">
      <c r="A9" s="235"/>
      <c r="B9" s="236"/>
      <c r="C9" s="247"/>
      <c r="D9" s="247"/>
      <c r="E9" s="247"/>
      <c r="F9" s="247"/>
      <c r="G9" s="247"/>
      <c r="H9" s="247"/>
      <c r="I9" s="247"/>
      <c r="M9" t="s">
        <v>76</v>
      </c>
      <c r="N9" s="84">
        <f>299-211</f>
        <v>88</v>
      </c>
      <c r="O9" s="84"/>
      <c r="P9" s="237">
        <f>P16+N5+N7+N9</f>
        <v>-39</v>
      </c>
    </row>
    <row r="10" spans="1:17">
      <c r="A10" s="245" t="s">
        <v>10</v>
      </c>
      <c r="B10" s="236"/>
      <c r="C10" s="247"/>
      <c r="D10" s="247"/>
      <c r="E10" s="247"/>
      <c r="F10" s="247"/>
      <c r="G10" s="247"/>
      <c r="H10" s="247"/>
      <c r="I10" s="247"/>
      <c r="N10" s="84">
        <f>SUM(N5:N9)</f>
        <v>6658</v>
      </c>
      <c r="O10" s="84"/>
      <c r="P10" s="237">
        <f>N4+N5+N7</f>
        <v>-338</v>
      </c>
      <c r="Q10" t="s">
        <v>326</v>
      </c>
    </row>
    <row r="11" spans="1:17">
      <c r="A11" s="246" t="s">
        <v>11</v>
      </c>
      <c r="B11" s="236"/>
      <c r="C11" s="247"/>
      <c r="D11" s="247"/>
      <c r="E11" s="247"/>
      <c r="F11" s="247"/>
      <c r="G11" s="247">
        <v>3006</v>
      </c>
      <c r="H11" s="247"/>
      <c r="I11" s="249">
        <v>1670</v>
      </c>
      <c r="J11" s="233" t="s">
        <v>327</v>
      </c>
      <c r="M11" t="s">
        <v>328</v>
      </c>
      <c r="N11" t="s">
        <v>329</v>
      </c>
      <c r="O11">
        <v>5838</v>
      </c>
    </row>
    <row r="12" spans="1:17">
      <c r="A12" s="246" t="s">
        <v>330</v>
      </c>
      <c r="B12" s="236"/>
      <c r="C12" s="247"/>
      <c r="D12" s="247"/>
      <c r="E12" s="247"/>
      <c r="F12" s="247"/>
      <c r="G12" s="247">
        <v>940</v>
      </c>
      <c r="H12" s="247"/>
      <c r="I12" s="250">
        <v>732</v>
      </c>
      <c r="M12" s="243" t="s">
        <v>331</v>
      </c>
      <c r="N12" s="243"/>
    </row>
    <row r="13" spans="1:17">
      <c r="A13" s="246" t="s">
        <v>12</v>
      </c>
      <c r="B13" s="236"/>
      <c r="C13" s="247"/>
      <c r="D13" s="247"/>
      <c r="E13" s="247"/>
      <c r="F13" s="247"/>
      <c r="G13" s="247">
        <v>-874</v>
      </c>
      <c r="H13" s="247"/>
      <c r="I13" s="250">
        <v>602</v>
      </c>
      <c r="M13" s="243" t="s">
        <v>332</v>
      </c>
      <c r="N13" s="243">
        <v>180</v>
      </c>
    </row>
    <row r="14" spans="1:17">
      <c r="A14" s="246" t="s">
        <v>44</v>
      </c>
      <c r="B14" s="236"/>
      <c r="C14" s="247"/>
      <c r="D14" s="247"/>
      <c r="E14" s="247"/>
      <c r="F14" s="247"/>
      <c r="G14" s="247">
        <v>971</v>
      </c>
      <c r="H14" s="247"/>
      <c r="I14" s="249">
        <v>1350</v>
      </c>
      <c r="M14" s="243" t="s">
        <v>333</v>
      </c>
      <c r="N14" s="243">
        <v>28</v>
      </c>
    </row>
    <row r="15" spans="1:17">
      <c r="A15" s="235" t="s">
        <v>13</v>
      </c>
      <c r="B15" s="236"/>
      <c r="C15" s="247"/>
      <c r="D15" s="247"/>
      <c r="E15" s="247"/>
      <c r="F15" s="247"/>
      <c r="G15" s="247">
        <v>-175</v>
      </c>
      <c r="H15" s="247"/>
      <c r="I15" s="250">
        <v>54</v>
      </c>
      <c r="M15" s="243" t="s">
        <v>334</v>
      </c>
      <c r="N15" s="243">
        <v>3</v>
      </c>
    </row>
    <row r="16" spans="1:17">
      <c r="A16" s="251" t="s">
        <v>335</v>
      </c>
      <c r="B16" s="236"/>
      <c r="C16" s="247"/>
      <c r="D16" s="247"/>
      <c r="E16" s="247"/>
      <c r="F16" s="247"/>
      <c r="G16" s="247"/>
      <c r="H16" s="247"/>
      <c r="I16" s="250"/>
      <c r="M16" s="243"/>
      <c r="N16" s="243">
        <f>SUM(N13:N15)</f>
        <v>211</v>
      </c>
      <c r="P16" s="237">
        <f>N4+N16</f>
        <v>-6250</v>
      </c>
    </row>
    <row r="17" spans="1:16">
      <c r="A17" s="246" t="s">
        <v>336</v>
      </c>
      <c r="B17" s="236"/>
      <c r="C17" s="247">
        <v>5189</v>
      </c>
      <c r="D17" s="247"/>
      <c r="E17" s="248">
        <v>7607</v>
      </c>
      <c r="F17" s="247"/>
      <c r="G17" s="247"/>
      <c r="H17" s="247"/>
      <c r="I17" s="250"/>
    </row>
    <row r="18" spans="1:16">
      <c r="A18" s="246" t="s">
        <v>14</v>
      </c>
      <c r="B18" s="236"/>
      <c r="C18" s="247"/>
      <c r="D18" s="247"/>
      <c r="E18" s="248"/>
      <c r="F18" s="247"/>
      <c r="G18" s="247">
        <v>5699</v>
      </c>
      <c r="H18" s="247"/>
      <c r="I18" s="249">
        <v>1138</v>
      </c>
      <c r="M18" t="s">
        <v>337</v>
      </c>
      <c r="N18">
        <v>-712</v>
      </c>
    </row>
    <row r="19" spans="1:16">
      <c r="A19" s="246" t="s">
        <v>338</v>
      </c>
      <c r="B19" s="236"/>
      <c r="C19" s="247"/>
      <c r="D19" s="247"/>
      <c r="E19" s="248"/>
      <c r="F19" s="247"/>
      <c r="G19" s="247">
        <v>1897</v>
      </c>
      <c r="H19" s="247"/>
      <c r="I19" s="215"/>
    </row>
    <row r="20" spans="1:16">
      <c r="A20" s="246" t="s">
        <v>15</v>
      </c>
      <c r="B20" s="236"/>
      <c r="C20" s="247"/>
      <c r="D20" s="247"/>
      <c r="E20" s="247"/>
      <c r="F20" s="247"/>
      <c r="G20" s="247">
        <v>1170</v>
      </c>
      <c r="H20" s="247"/>
      <c r="I20" s="252">
        <v>1353</v>
      </c>
      <c r="M20" t="s">
        <v>339</v>
      </c>
      <c r="N20">
        <v>3857</v>
      </c>
    </row>
    <row r="21" spans="1:16">
      <c r="A21" s="246" t="s">
        <v>16</v>
      </c>
      <c r="B21" s="236"/>
      <c r="C21" s="247"/>
      <c r="D21" s="247"/>
      <c r="E21" s="247">
        <v>1</v>
      </c>
      <c r="F21" s="247"/>
      <c r="G21" s="247">
        <v>5</v>
      </c>
      <c r="H21" s="247"/>
      <c r="I21" s="253">
        <v>71</v>
      </c>
      <c r="J21" s="233" t="s">
        <v>340</v>
      </c>
      <c r="M21" t="s">
        <v>341</v>
      </c>
      <c r="N21">
        <f>130810+22726</f>
        <v>153536</v>
      </c>
    </row>
    <row r="22" spans="1:16">
      <c r="A22" s="235"/>
      <c r="B22" s="236"/>
      <c r="C22" s="247">
        <f>SUM(C8:C21)</f>
        <v>-214</v>
      </c>
      <c r="D22" s="247"/>
      <c r="E22" s="247">
        <f>SUM(E8:E21)</f>
        <v>-113</v>
      </c>
      <c r="F22" s="247"/>
      <c r="G22" s="247">
        <f>SUM(G8:G21)</f>
        <v>8655</v>
      </c>
      <c r="H22" s="247"/>
      <c r="I22" s="247">
        <f>SUM(I8:I21)</f>
        <v>2292</v>
      </c>
      <c r="M22" t="s">
        <v>342</v>
      </c>
      <c r="N22">
        <f>14259+1043</f>
        <v>15302</v>
      </c>
    </row>
    <row r="23" spans="1:16">
      <c r="A23" s="235"/>
      <c r="B23" s="236"/>
      <c r="C23" s="247"/>
      <c r="D23" s="247"/>
      <c r="E23" s="247"/>
      <c r="F23" s="247"/>
      <c r="G23" s="247"/>
      <c r="H23" s="247"/>
      <c r="I23" s="247"/>
      <c r="M23" t="s">
        <v>343</v>
      </c>
      <c r="N23">
        <v>-5426</v>
      </c>
    </row>
    <row r="24" spans="1:16">
      <c r="A24" s="235"/>
      <c r="B24" s="236"/>
      <c r="C24" s="247"/>
      <c r="D24" s="247"/>
      <c r="E24" s="247"/>
      <c r="F24" s="247"/>
      <c r="G24" s="247"/>
      <c r="H24" s="247"/>
      <c r="I24" s="247"/>
      <c r="K24">
        <v>8171</v>
      </c>
      <c r="L24" t="s">
        <v>344</v>
      </c>
      <c r="M24" t="s">
        <v>345</v>
      </c>
      <c r="N24">
        <v>-755</v>
      </c>
    </row>
    <row r="25" spans="1:16">
      <c r="A25" s="245" t="s">
        <v>17</v>
      </c>
      <c r="B25" s="236"/>
      <c r="C25" s="247"/>
      <c r="D25" s="247"/>
      <c r="E25" s="247"/>
      <c r="F25" s="247"/>
      <c r="G25" s="247"/>
      <c r="H25" s="247"/>
      <c r="I25" s="247"/>
      <c r="K25" t="s">
        <v>346</v>
      </c>
      <c r="M25" t="s">
        <v>347</v>
      </c>
      <c r="N25">
        <v>-2464</v>
      </c>
    </row>
    <row r="26" spans="1:16">
      <c r="A26" s="246" t="s">
        <v>348</v>
      </c>
      <c r="B26" s="236"/>
      <c r="C26" s="247">
        <v>0</v>
      </c>
      <c r="D26" s="247"/>
      <c r="E26" s="247"/>
      <c r="F26" s="247"/>
      <c r="G26" s="247">
        <v>42846</v>
      </c>
      <c r="H26" s="247"/>
      <c r="I26" s="254">
        <v>15554</v>
      </c>
      <c r="J26" s="52"/>
      <c r="K26" s="84">
        <v>-27574</v>
      </c>
      <c r="L26" s="237">
        <v>15554</v>
      </c>
      <c r="M26" t="s">
        <v>76</v>
      </c>
      <c r="O26" t="s">
        <v>349</v>
      </c>
      <c r="P26" t="s">
        <v>350</v>
      </c>
    </row>
    <row r="27" spans="1:16">
      <c r="A27" s="246" t="s">
        <v>18</v>
      </c>
      <c r="B27" s="236"/>
      <c r="C27" s="247">
        <v>0</v>
      </c>
      <c r="D27" s="247"/>
      <c r="E27" s="247"/>
      <c r="F27" s="247"/>
      <c r="G27" s="247">
        <v>-21961</v>
      </c>
      <c r="H27" s="247"/>
      <c r="I27" s="254">
        <v>-34112</v>
      </c>
      <c r="J27" s="52"/>
      <c r="K27" s="84">
        <v>-32816</v>
      </c>
      <c r="L27" s="237">
        <v>-34112</v>
      </c>
      <c r="M27" t="s">
        <v>351</v>
      </c>
      <c r="O27">
        <v>83</v>
      </c>
    </row>
    <row r="28" spans="1:16">
      <c r="A28" s="246" t="s">
        <v>19</v>
      </c>
      <c r="B28" s="236"/>
      <c r="C28" s="247">
        <v>-21</v>
      </c>
      <c r="D28" s="247"/>
      <c r="E28" s="255">
        <v>-50</v>
      </c>
      <c r="F28" s="247"/>
      <c r="G28" s="247">
        <v>-755</v>
      </c>
      <c r="H28" s="247"/>
      <c r="I28" s="255">
        <v>-876</v>
      </c>
      <c r="J28" s="52"/>
      <c r="K28" s="256">
        <v>-1294</v>
      </c>
      <c r="L28" s="237">
        <v>-876</v>
      </c>
      <c r="M28" t="s">
        <v>352</v>
      </c>
      <c r="O28">
        <f>630</f>
        <v>630</v>
      </c>
    </row>
    <row r="29" spans="1:16">
      <c r="A29" s="246" t="s">
        <v>52</v>
      </c>
      <c r="B29" s="236"/>
      <c r="C29" s="247">
        <v>248</v>
      </c>
      <c r="D29" s="247"/>
      <c r="E29" s="254">
        <v>-2019</v>
      </c>
      <c r="F29" s="247"/>
      <c r="G29" s="247">
        <v>-1753</v>
      </c>
      <c r="H29" s="247"/>
      <c r="I29" s="254">
        <v>-5569</v>
      </c>
      <c r="J29" s="52"/>
      <c r="K29" s="84">
        <v>-3440</v>
      </c>
      <c r="L29" s="237">
        <v>-5569</v>
      </c>
      <c r="M29" t="s">
        <v>96</v>
      </c>
      <c r="O29">
        <v>8</v>
      </c>
    </row>
    <row r="30" spans="1:16">
      <c r="A30" s="246" t="s">
        <v>20</v>
      </c>
      <c r="B30" s="236"/>
      <c r="C30" s="247">
        <v>35</v>
      </c>
      <c r="D30" s="247"/>
      <c r="E30" s="255">
        <v>-75</v>
      </c>
      <c r="F30" s="247"/>
      <c r="G30" s="247">
        <v>5542</v>
      </c>
      <c r="H30" s="247"/>
      <c r="I30" s="254">
        <v>1512</v>
      </c>
      <c r="J30" s="52"/>
      <c r="K30" s="84">
        <f>1639+451</f>
        <v>2090</v>
      </c>
      <c r="L30" s="237">
        <v>1512</v>
      </c>
      <c r="M30" t="s">
        <v>353</v>
      </c>
      <c r="O30">
        <v>31</v>
      </c>
    </row>
    <row r="31" spans="1:16">
      <c r="A31" s="246" t="s">
        <v>354</v>
      </c>
      <c r="B31" s="236"/>
      <c r="C31" s="247">
        <v>0</v>
      </c>
      <c r="D31" s="247"/>
      <c r="E31" s="255">
        <v>3</v>
      </c>
      <c r="F31" s="247"/>
      <c r="G31" s="247">
        <v>-1893</v>
      </c>
      <c r="H31" s="247"/>
      <c r="I31" s="254">
        <v>2318</v>
      </c>
      <c r="J31" s="52"/>
      <c r="K31" s="84">
        <v>1863</v>
      </c>
      <c r="L31" s="237">
        <v>2318</v>
      </c>
      <c r="M31" t="s">
        <v>129</v>
      </c>
      <c r="O31">
        <v>315</v>
      </c>
    </row>
    <row r="32" spans="1:16">
      <c r="A32" s="246" t="s">
        <v>21</v>
      </c>
      <c r="B32" s="236"/>
      <c r="C32" s="257">
        <v>0</v>
      </c>
      <c r="D32" s="258"/>
      <c r="E32" s="259">
        <v>3</v>
      </c>
      <c r="F32" s="258"/>
      <c r="G32" s="257">
        <v>-3024</v>
      </c>
      <c r="H32" s="258"/>
      <c r="I32" s="255">
        <v>-14</v>
      </c>
      <c r="J32" s="52"/>
      <c r="K32" s="256">
        <v>3318</v>
      </c>
      <c r="L32" s="237">
        <v>-14</v>
      </c>
      <c r="M32" t="s">
        <v>355</v>
      </c>
      <c r="O32">
        <f>-86-1982</f>
        <v>-2068</v>
      </c>
    </row>
    <row r="33" spans="1:16">
      <c r="A33" s="235"/>
      <c r="B33" s="236"/>
      <c r="C33" s="247">
        <f>SUM(C22:C32)</f>
        <v>48</v>
      </c>
      <c r="D33" s="236"/>
      <c r="E33" s="247">
        <f>SUM(E22:E32)</f>
        <v>-2251</v>
      </c>
      <c r="F33" s="236"/>
      <c r="G33" s="247">
        <f>SUM(G22:G32)</f>
        <v>27657</v>
      </c>
      <c r="H33" s="236"/>
      <c r="I33" s="247">
        <f>SUM(I22:I32)</f>
        <v>-18895</v>
      </c>
      <c r="M33" t="s">
        <v>356</v>
      </c>
      <c r="O33">
        <v>-192</v>
      </c>
    </row>
    <row r="34" spans="1:16" ht="15" thickBot="1">
      <c r="A34" s="235"/>
      <c r="B34" s="236"/>
      <c r="C34" s="260"/>
      <c r="D34" s="236"/>
      <c r="E34" s="260"/>
      <c r="F34" s="236"/>
      <c r="G34" s="260"/>
      <c r="H34" s="236"/>
      <c r="I34" s="260"/>
      <c r="M34" t="s">
        <v>357</v>
      </c>
      <c r="O34">
        <v>-428</v>
      </c>
    </row>
    <row r="35" spans="1:16">
      <c r="A35" s="235" t="s">
        <v>358</v>
      </c>
      <c r="B35" s="236"/>
      <c r="C35" s="247"/>
      <c r="D35" s="236"/>
      <c r="E35" s="247"/>
      <c r="F35" s="236"/>
      <c r="G35" s="247">
        <f>-615+615</f>
        <v>0</v>
      </c>
      <c r="H35" s="236"/>
      <c r="I35" s="247"/>
      <c r="M35" t="s">
        <v>129</v>
      </c>
      <c r="O35">
        <f>-211+211-315</f>
        <v>-315</v>
      </c>
    </row>
    <row r="36" spans="1:16">
      <c r="A36" s="246" t="s">
        <v>22</v>
      </c>
      <c r="B36" s="236"/>
      <c r="C36" s="247"/>
      <c r="D36" s="236"/>
      <c r="E36" s="247"/>
      <c r="F36" s="247"/>
      <c r="G36" s="247">
        <v>-218</v>
      </c>
      <c r="H36" s="247"/>
      <c r="I36" s="247"/>
      <c r="L36" s="233"/>
      <c r="M36" t="s">
        <v>359</v>
      </c>
      <c r="O36">
        <v>-51</v>
      </c>
    </row>
    <row r="37" spans="1:16" ht="15" thickBot="1">
      <c r="A37" s="246" t="s">
        <v>23</v>
      </c>
      <c r="B37" s="236"/>
      <c r="C37" s="260"/>
      <c r="D37" s="236"/>
      <c r="E37" s="260"/>
      <c r="F37" s="260"/>
      <c r="G37" s="261"/>
      <c r="H37" s="260"/>
      <c r="I37" s="260">
        <v>-921</v>
      </c>
      <c r="J37" t="s">
        <v>360</v>
      </c>
      <c r="L37" s="256"/>
    </row>
    <row r="38" spans="1:16">
      <c r="A38" s="235"/>
      <c r="B38" s="236"/>
      <c r="C38" s="247"/>
      <c r="D38" s="236"/>
      <c r="E38" s="247"/>
      <c r="F38" s="236"/>
      <c r="G38" s="262"/>
      <c r="H38" s="236"/>
      <c r="I38" s="247"/>
    </row>
    <row r="39" spans="1:16" ht="15" thickBot="1">
      <c r="A39" s="245" t="s">
        <v>361</v>
      </c>
      <c r="B39" s="236"/>
      <c r="C39" s="260">
        <f>SUM(C33:C37)</f>
        <v>48</v>
      </c>
      <c r="D39" s="236"/>
      <c r="E39" s="260">
        <f>SUM(E33:E37)</f>
        <v>-2251</v>
      </c>
      <c r="F39" s="236"/>
      <c r="G39" s="260">
        <f>SUM(G33:G37)</f>
        <v>27439</v>
      </c>
      <c r="H39" s="236"/>
      <c r="I39" s="260">
        <f>SUM(I33:I37)</f>
        <v>-19816</v>
      </c>
    </row>
    <row r="40" spans="1:16">
      <c r="A40" s="235"/>
      <c r="B40" s="236"/>
      <c r="C40" s="247"/>
      <c r="D40" s="236"/>
      <c r="E40" s="247"/>
      <c r="F40" s="236"/>
      <c r="G40" s="247"/>
      <c r="H40" s="236"/>
      <c r="I40" s="247"/>
    </row>
    <row r="41" spans="1:16">
      <c r="A41" s="245" t="s">
        <v>24</v>
      </c>
      <c r="B41" s="236"/>
      <c r="C41" s="247"/>
      <c r="D41" s="236"/>
      <c r="E41" s="247"/>
      <c r="F41" s="236"/>
      <c r="G41" s="247"/>
      <c r="H41" s="236"/>
      <c r="I41" s="247"/>
      <c r="M41" s="243"/>
    </row>
    <row r="42" spans="1:16">
      <c r="A42" s="246" t="s">
        <v>362</v>
      </c>
      <c r="B42" s="236"/>
      <c r="C42" s="247"/>
      <c r="D42" s="247"/>
      <c r="E42" s="263"/>
      <c r="F42" s="247"/>
      <c r="G42" s="247"/>
      <c r="H42" s="247"/>
      <c r="I42" s="215"/>
      <c r="K42" t="s">
        <v>363</v>
      </c>
      <c r="M42" s="244"/>
      <c r="N42" s="84" t="s">
        <v>72</v>
      </c>
      <c r="O42" s="50" t="s">
        <v>74</v>
      </c>
    </row>
    <row r="43" spans="1:16">
      <c r="A43" s="246" t="s">
        <v>364</v>
      </c>
      <c r="B43" s="236"/>
      <c r="C43" s="247"/>
      <c r="D43" s="247"/>
      <c r="E43" s="263"/>
      <c r="F43" s="247"/>
      <c r="G43" s="247"/>
      <c r="H43" s="247"/>
      <c r="I43" s="249">
        <v>-146084</v>
      </c>
      <c r="K43" s="237">
        <v>11023</v>
      </c>
      <c r="M43" t="s">
        <v>365</v>
      </c>
      <c r="N43">
        <v>12507</v>
      </c>
      <c r="O43">
        <v>1752</v>
      </c>
      <c r="P43">
        <f>SUM(N43:O43)</f>
        <v>14259</v>
      </c>
    </row>
    <row r="44" spans="1:16">
      <c r="A44" s="246" t="s">
        <v>366</v>
      </c>
      <c r="B44" s="236"/>
      <c r="C44" s="247"/>
      <c r="D44" s="247"/>
      <c r="E44" s="263"/>
      <c r="F44" s="247"/>
      <c r="G44" s="247"/>
      <c r="H44" s="247"/>
      <c r="I44" s="250">
        <v>942</v>
      </c>
      <c r="M44" t="s">
        <v>367</v>
      </c>
      <c r="N44">
        <v>870</v>
      </c>
      <c r="O44">
        <v>173</v>
      </c>
      <c r="P44">
        <f>SUM(N44:O44)</f>
        <v>1043</v>
      </c>
    </row>
    <row r="45" spans="1:16">
      <c r="A45" s="246" t="s">
        <v>368</v>
      </c>
      <c r="B45" s="236"/>
      <c r="C45" s="247"/>
      <c r="D45" s="247"/>
      <c r="E45" s="263"/>
      <c r="F45" s="247"/>
      <c r="G45" s="247"/>
      <c r="H45" s="247"/>
      <c r="I45" s="247"/>
    </row>
    <row r="46" spans="1:16">
      <c r="A46" s="246" t="s">
        <v>369</v>
      </c>
      <c r="B46" s="236"/>
      <c r="C46" s="247"/>
      <c r="D46" s="247"/>
      <c r="E46" s="247"/>
      <c r="F46" s="247"/>
      <c r="G46" s="247"/>
      <c r="H46" s="247"/>
      <c r="I46" s="247"/>
      <c r="M46" t="s">
        <v>370</v>
      </c>
    </row>
    <row r="47" spans="1:16">
      <c r="A47" s="246" t="s">
        <v>371</v>
      </c>
      <c r="B47" s="236"/>
      <c r="C47" s="247"/>
      <c r="D47" s="247"/>
      <c r="E47" s="247"/>
      <c r="F47" s="247"/>
      <c r="G47" s="247"/>
      <c r="H47" s="247"/>
      <c r="I47" s="247"/>
      <c r="M47" t="s">
        <v>372</v>
      </c>
      <c r="N47">
        <v>-76147</v>
      </c>
    </row>
    <row r="48" spans="1:16">
      <c r="A48" s="246" t="s">
        <v>373</v>
      </c>
      <c r="B48" s="236"/>
      <c r="C48" s="247"/>
      <c r="D48" s="247"/>
      <c r="E48" s="247"/>
      <c r="F48" s="247"/>
      <c r="G48" s="247">
        <v>867</v>
      </c>
      <c r="H48" s="247"/>
      <c r="I48" s="249">
        <v>-25040</v>
      </c>
      <c r="M48" t="s">
        <v>374</v>
      </c>
      <c r="N48">
        <v>-2747</v>
      </c>
    </row>
    <row r="49" spans="1:14">
      <c r="A49" s="246" t="s">
        <v>25</v>
      </c>
      <c r="B49" s="236"/>
      <c r="C49" s="247"/>
      <c r="D49" s="247"/>
      <c r="E49" s="247"/>
      <c r="F49" s="247"/>
      <c r="G49" s="247">
        <v>-782</v>
      </c>
      <c r="H49" s="247"/>
      <c r="I49" s="249">
        <v>-3163</v>
      </c>
      <c r="M49" t="s">
        <v>375</v>
      </c>
      <c r="N49">
        <v>9889</v>
      </c>
    </row>
    <row r="50" spans="1:14">
      <c r="A50" s="246" t="s">
        <v>376</v>
      </c>
      <c r="B50" s="236"/>
      <c r="C50" s="247"/>
      <c r="D50" s="247"/>
      <c r="E50" s="247"/>
      <c r="F50" s="247"/>
      <c r="G50" s="247">
        <v>395</v>
      </c>
      <c r="H50" s="247"/>
      <c r="I50" s="250">
        <v>163</v>
      </c>
      <c r="M50" t="s">
        <v>377</v>
      </c>
      <c r="N50">
        <v>-2618</v>
      </c>
    </row>
    <row r="51" spans="1:14">
      <c r="A51" s="246" t="s">
        <v>378</v>
      </c>
      <c r="B51" s="236"/>
      <c r="C51" s="247"/>
      <c r="D51" s="247"/>
      <c r="E51" s="247">
        <v>-15</v>
      </c>
      <c r="F51" s="247"/>
      <c r="G51" s="247">
        <v>-455</v>
      </c>
      <c r="H51" s="247"/>
      <c r="I51" s="249">
        <v>-1493</v>
      </c>
      <c r="M51" t="s">
        <v>379</v>
      </c>
      <c r="N51">
        <v>11023</v>
      </c>
    </row>
    <row r="52" spans="1:14" ht="15" thickBot="1">
      <c r="A52" s="246" t="s">
        <v>380</v>
      </c>
      <c r="B52" s="236"/>
      <c r="C52" s="238"/>
      <c r="D52" s="236"/>
      <c r="E52" s="264"/>
      <c r="F52" s="236"/>
      <c r="G52" s="265"/>
      <c r="H52" s="236"/>
      <c r="I52" s="265"/>
    </row>
    <row r="53" spans="1:14">
      <c r="A53" s="235"/>
      <c r="B53" s="236"/>
      <c r="C53" s="247"/>
      <c r="D53" s="236"/>
      <c r="E53" s="247"/>
      <c r="F53" s="236"/>
      <c r="G53" s="247"/>
      <c r="H53" s="236"/>
      <c r="I53" s="247"/>
      <c r="M53" t="s">
        <v>381</v>
      </c>
      <c r="N53">
        <f>N47+N49+N50+N51</f>
        <v>-57853</v>
      </c>
    </row>
    <row r="54" spans="1:14" ht="15" thickBot="1">
      <c r="A54" s="245" t="s">
        <v>382</v>
      </c>
      <c r="B54" s="236"/>
      <c r="C54" s="260">
        <f>SUM(C42:C52)</f>
        <v>0</v>
      </c>
      <c r="D54" s="236"/>
      <c r="E54" s="260">
        <f>SUM(E42:E52)</f>
        <v>-15</v>
      </c>
      <c r="F54" s="236"/>
      <c r="G54" s="260">
        <f>SUM(G42:G52)</f>
        <v>25</v>
      </c>
      <c r="H54" s="236"/>
      <c r="I54" s="260">
        <f>SUM(I42:I52)</f>
        <v>-174675</v>
      </c>
    </row>
    <row r="55" spans="1:14">
      <c r="A55" s="235"/>
      <c r="B55" s="236"/>
      <c r="C55" s="247"/>
      <c r="D55" s="236"/>
      <c r="E55" s="247"/>
      <c r="F55" s="236"/>
      <c r="G55" s="247"/>
      <c r="H55" s="236"/>
      <c r="I55" s="247"/>
    </row>
    <row r="56" spans="1:14" s="266" customFormat="1">
      <c r="A56" s="245" t="s">
        <v>26</v>
      </c>
      <c r="B56" s="236"/>
      <c r="C56" s="247"/>
      <c r="D56" s="236"/>
      <c r="E56" s="247"/>
      <c r="F56" s="236"/>
      <c r="G56" s="247"/>
      <c r="H56" s="236"/>
      <c r="I56" s="247"/>
      <c r="M56" s="266" t="s">
        <v>383</v>
      </c>
    </row>
    <row r="57" spans="1:14">
      <c r="A57" s="246" t="s">
        <v>384</v>
      </c>
      <c r="B57" s="236"/>
      <c r="C57" s="247">
        <v>1514</v>
      </c>
      <c r="D57" s="236"/>
      <c r="E57" s="247"/>
      <c r="F57" s="236"/>
      <c r="G57" s="247">
        <v>1514</v>
      </c>
      <c r="H57" s="236"/>
      <c r="I57" s="247"/>
      <c r="M57" s="84">
        <v>33984</v>
      </c>
    </row>
    <row r="58" spans="1:14">
      <c r="A58" s="246" t="s">
        <v>385</v>
      </c>
      <c r="B58" s="236"/>
      <c r="C58" s="247"/>
      <c r="D58" s="247"/>
      <c r="E58" s="247"/>
      <c r="F58" s="247"/>
      <c r="G58" s="247">
        <v>0</v>
      </c>
      <c r="H58" s="247"/>
      <c r="I58" s="267">
        <v>214379</v>
      </c>
    </row>
    <row r="59" spans="1:14">
      <c r="A59" s="246" t="s">
        <v>386</v>
      </c>
      <c r="B59" s="236"/>
      <c r="C59" s="247"/>
      <c r="D59" s="247"/>
      <c r="E59" s="247"/>
      <c r="F59" s="247"/>
      <c r="G59" s="247">
        <v>-23399</v>
      </c>
      <c r="H59" s="247"/>
      <c r="I59" s="267"/>
    </row>
    <row r="60" spans="1:14">
      <c r="A60" s="246" t="s">
        <v>387</v>
      </c>
      <c r="B60" s="236"/>
      <c r="C60" s="247"/>
      <c r="D60" s="247"/>
      <c r="E60" s="247"/>
      <c r="F60" s="247"/>
      <c r="G60" s="247"/>
      <c r="H60" s="247"/>
      <c r="I60" s="252"/>
      <c r="J60" s="233" t="s">
        <v>388</v>
      </c>
    </row>
    <row r="61" spans="1:14">
      <c r="A61" s="246" t="s">
        <v>27</v>
      </c>
      <c r="B61" s="236"/>
      <c r="C61" s="237"/>
      <c r="D61" s="247"/>
      <c r="E61" s="247"/>
      <c r="F61" s="247"/>
      <c r="G61" s="247"/>
      <c r="H61" s="247"/>
      <c r="I61" s="268"/>
    </row>
    <row r="62" spans="1:14" ht="15" thickBot="1">
      <c r="A62" s="235"/>
      <c r="B62" s="236"/>
      <c r="C62" s="260"/>
      <c r="D62" s="236"/>
      <c r="E62" s="260"/>
      <c r="F62" s="236"/>
      <c r="G62" s="260"/>
      <c r="H62" s="236"/>
      <c r="I62" s="269"/>
    </row>
    <row r="63" spans="1:14">
      <c r="A63" s="245" t="s">
        <v>389</v>
      </c>
      <c r="B63" s="236"/>
      <c r="C63" s="247">
        <f>SUM(C57:C62)</f>
        <v>1514</v>
      </c>
      <c r="D63" s="236"/>
      <c r="E63" s="247">
        <f>SUM(E57:E62)</f>
        <v>0</v>
      </c>
      <c r="F63" s="236"/>
      <c r="G63" s="247">
        <f>SUM(G57:G62)</f>
        <v>-21885</v>
      </c>
      <c r="H63" s="236"/>
      <c r="I63" s="247">
        <f>SUM(I57:I62)</f>
        <v>214379</v>
      </c>
    </row>
    <row r="64" spans="1:14" ht="15" thickBot="1">
      <c r="A64" s="235"/>
      <c r="B64" s="236"/>
      <c r="C64" s="260"/>
      <c r="D64" s="236"/>
      <c r="E64" s="260"/>
      <c r="F64" s="236"/>
      <c r="G64" s="260"/>
      <c r="H64" s="236"/>
      <c r="I64" s="260"/>
    </row>
    <row r="65" spans="1:18">
      <c r="A65" s="245" t="s">
        <v>28</v>
      </c>
      <c r="B65" s="236"/>
      <c r="C65" s="247">
        <f>C39+C54+C63</f>
        <v>1562</v>
      </c>
      <c r="D65" s="236"/>
      <c r="E65" s="247">
        <f>E39+E54+E63</f>
        <v>-2266</v>
      </c>
      <c r="F65" s="236"/>
      <c r="G65" s="247">
        <f>G39+G54+G63</f>
        <v>5579</v>
      </c>
      <c r="H65" s="236"/>
      <c r="I65" s="247">
        <f>I39+I54+I63</f>
        <v>19888</v>
      </c>
    </row>
    <row r="66" spans="1:18">
      <c r="A66" s="235"/>
      <c r="B66" s="236"/>
      <c r="C66" s="247"/>
      <c r="D66" s="236"/>
      <c r="E66" s="247"/>
      <c r="F66" s="236"/>
      <c r="G66" s="247"/>
      <c r="H66" s="236"/>
      <c r="I66" s="247"/>
    </row>
    <row r="67" spans="1:18" ht="15" thickBot="1">
      <c r="A67" s="245" t="s">
        <v>390</v>
      </c>
      <c r="B67" s="236"/>
      <c r="C67" s="260">
        <v>61</v>
      </c>
      <c r="D67" s="260"/>
      <c r="E67" s="260">
        <v>6347</v>
      </c>
      <c r="F67" s="260"/>
      <c r="G67" s="260">
        <v>46343</v>
      </c>
      <c r="H67" s="260"/>
      <c r="I67" s="260">
        <v>14664</v>
      </c>
    </row>
    <row r="68" spans="1:18">
      <c r="A68" s="235"/>
      <c r="B68" s="236"/>
      <c r="C68" s="247"/>
      <c r="D68" s="236"/>
      <c r="E68" s="247"/>
      <c r="F68" s="236"/>
      <c r="G68" s="247"/>
      <c r="H68" s="236"/>
      <c r="I68" s="247"/>
    </row>
    <row r="69" spans="1:18" ht="15" thickBot="1">
      <c r="A69" s="245" t="s">
        <v>391</v>
      </c>
      <c r="B69" s="236"/>
      <c r="C69" s="270">
        <f>SUM(C65:C67)</f>
        <v>1623</v>
      </c>
      <c r="D69" s="236"/>
      <c r="E69" s="270">
        <f>SUM(E65:E67)</f>
        <v>4081</v>
      </c>
      <c r="F69" s="236"/>
      <c r="G69" s="270">
        <f>SUM(G65:G67)</f>
        <v>51922</v>
      </c>
      <c r="H69" s="236"/>
      <c r="I69" s="270">
        <f>SUM(I65:I67)</f>
        <v>34552</v>
      </c>
    </row>
    <row r="70" spans="1:18" ht="15" thickTop="1">
      <c r="C70" s="84">
        <v>0</v>
      </c>
      <c r="G70" s="84">
        <v>0</v>
      </c>
    </row>
    <row r="71" spans="1:18">
      <c r="C71" s="237"/>
      <c r="G71" s="237">
        <f>G69-G70</f>
        <v>51922</v>
      </c>
    </row>
    <row r="72" spans="1:18">
      <c r="G72" s="50">
        <f>G70-11023</f>
        <v>-11023</v>
      </c>
    </row>
    <row r="73" spans="1:18">
      <c r="G73">
        <f>G71/2</f>
        <v>25961</v>
      </c>
    </row>
    <row r="77" spans="1:18">
      <c r="M77" t="s">
        <v>392</v>
      </c>
      <c r="N77" t="s">
        <v>393</v>
      </c>
      <c r="O77" t="s">
        <v>394</v>
      </c>
      <c r="P77" t="s">
        <v>395</v>
      </c>
      <c r="Q77" t="s">
        <v>396</v>
      </c>
      <c r="R77" t="s">
        <v>78</v>
      </c>
    </row>
    <row r="78" spans="1:18">
      <c r="M78" t="s">
        <v>397</v>
      </c>
      <c r="N78" s="84">
        <v>3163</v>
      </c>
      <c r="O78" s="84">
        <v>2717</v>
      </c>
      <c r="P78" s="84">
        <v>43</v>
      </c>
      <c r="Q78" s="84"/>
      <c r="R78" s="84">
        <f>SUM(N78:Q78)</f>
        <v>5923</v>
      </c>
    </row>
    <row r="79" spans="1:18">
      <c r="M79" t="s">
        <v>398</v>
      </c>
      <c r="N79" s="84">
        <v>1493</v>
      </c>
      <c r="O79" s="84">
        <v>232</v>
      </c>
      <c r="P79" s="84">
        <v>63</v>
      </c>
      <c r="Q79" s="84">
        <v>119</v>
      </c>
      <c r="R79" s="84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Q69"/>
  <sheetViews>
    <sheetView showGridLines="0" zoomScale="90" zoomScaleNormal="90" workbookViewId="0">
      <pane xSplit="4" ySplit="3" topLeftCell="E4" activePane="bottomRight" state="frozen"/>
      <selection activeCell="AE9" sqref="AE9"/>
      <selection pane="topRight" activeCell="AE9" sqref="AE9"/>
      <selection pane="bottomLeft" activeCell="AE9" sqref="AE9"/>
      <selection pane="bottomRight" activeCell="D80" sqref="D80"/>
    </sheetView>
  </sheetViews>
  <sheetFormatPr defaultColWidth="9.109375" defaultRowHeight="12" outlineLevelCol="1"/>
  <cols>
    <col min="1" max="3" width="2.88671875" style="347" customWidth="1"/>
    <col min="4" max="4" width="53.88671875" style="347" bestFit="1" customWidth="1"/>
    <col min="5" max="6" width="11.88671875" style="348" customWidth="1" outlineLevel="1"/>
    <col min="7" max="7" width="10.44140625" style="349" customWidth="1" outlineLevel="1"/>
    <col min="8" max="8" width="13.109375" style="349" customWidth="1" outlineLevel="1"/>
    <col min="9" max="16" width="9.109375" style="348"/>
    <col min="17" max="17" width="9.109375" style="394"/>
    <col min="18" max="16384" width="9.109375" style="348"/>
  </cols>
  <sheetData>
    <row r="1" spans="1:17" ht="90" customHeight="1" thickBot="1"/>
    <row r="2" spans="1:17" ht="12.6" thickBot="1">
      <c r="A2" s="323" t="s">
        <v>406</v>
      </c>
      <c r="B2" s="324"/>
      <c r="C2" s="324"/>
      <c r="D2" s="317"/>
      <c r="E2" s="2" t="s">
        <v>468</v>
      </c>
      <c r="F2" s="2" t="s">
        <v>469</v>
      </c>
      <c r="G2" s="2" t="s">
        <v>0</v>
      </c>
      <c r="H2" s="2" t="s">
        <v>1</v>
      </c>
    </row>
    <row r="3" spans="1:17" ht="15.75" customHeight="1">
      <c r="A3" s="325" t="s">
        <v>507</v>
      </c>
      <c r="B3" s="318"/>
      <c r="C3" s="3"/>
      <c r="D3" s="3"/>
      <c r="E3" s="51"/>
      <c r="F3" s="47"/>
      <c r="G3" s="67"/>
      <c r="H3" s="68"/>
    </row>
    <row r="4" spans="1:17" ht="15.75" customHeight="1">
      <c r="A4" s="326"/>
      <c r="B4" s="327" t="s">
        <v>508</v>
      </c>
      <c r="C4" s="327"/>
      <c r="D4" s="327"/>
      <c r="E4" s="48"/>
      <c r="F4" s="48"/>
      <c r="G4" s="80"/>
      <c r="H4" s="82"/>
    </row>
    <row r="5" spans="1:17" ht="15.75" customHeight="1">
      <c r="A5" s="326"/>
      <c r="B5" s="327"/>
      <c r="C5" s="327"/>
      <c r="D5" s="327" t="s">
        <v>509</v>
      </c>
      <c r="E5" s="16">
        <v>93939</v>
      </c>
      <c r="F5" s="16">
        <v>66138</v>
      </c>
      <c r="G5" s="57">
        <f>F5/E5-1</f>
        <v>-0.29594737010187466</v>
      </c>
      <c r="H5" s="99">
        <f>F5-E5</f>
        <v>-27801</v>
      </c>
      <c r="Q5" s="394" t="s">
        <v>428</v>
      </c>
    </row>
    <row r="6" spans="1:17">
      <c r="A6" s="326"/>
      <c r="B6" s="327"/>
      <c r="C6" s="327"/>
      <c r="D6" s="327" t="s">
        <v>510</v>
      </c>
      <c r="E6" s="16">
        <v>322</v>
      </c>
      <c r="F6" s="16">
        <v>440</v>
      </c>
      <c r="G6" s="57">
        <f t="shared" ref="G6" si="0">F6/E6-1</f>
        <v>0.36645962732919246</v>
      </c>
      <c r="H6" s="99">
        <f t="shared" ref="H6:H9" si="1">F6-E6</f>
        <v>118</v>
      </c>
      <c r="Q6" s="394" t="s">
        <v>429</v>
      </c>
    </row>
    <row r="7" spans="1:17" ht="15.75" customHeight="1">
      <c r="A7" s="326"/>
      <c r="B7" s="327"/>
      <c r="C7" s="327"/>
      <c r="D7" s="327" t="s">
        <v>511</v>
      </c>
      <c r="E7" s="12">
        <v>0</v>
      </c>
      <c r="F7" s="54">
        <v>0</v>
      </c>
      <c r="G7" s="57">
        <f>IFERROR(F7/E7-1,0)</f>
        <v>0</v>
      </c>
      <c r="H7" s="99">
        <f t="shared" si="1"/>
        <v>0</v>
      </c>
    </row>
    <row r="8" spans="1:17" ht="15.75" customHeight="1">
      <c r="A8" s="326"/>
      <c r="B8" s="327"/>
      <c r="C8" s="327"/>
      <c r="D8" s="327" t="s">
        <v>512</v>
      </c>
      <c r="E8" s="12">
        <v>154034</v>
      </c>
      <c r="F8" s="16">
        <v>193932</v>
      </c>
      <c r="G8" s="57">
        <f t="shared" ref="G8:G9" si="2">IFERROR(F8/E8-1,0)</f>
        <v>0.25902073568173267</v>
      </c>
      <c r="H8" s="99">
        <f t="shared" si="1"/>
        <v>39898</v>
      </c>
      <c r="Q8" s="394" t="s">
        <v>430</v>
      </c>
    </row>
    <row r="9" spans="1:17">
      <c r="A9" s="326"/>
      <c r="B9" s="327"/>
      <c r="C9" s="327"/>
      <c r="D9" s="327" t="s">
        <v>513</v>
      </c>
      <c r="E9" s="16">
        <v>112982</v>
      </c>
      <c r="F9" s="16">
        <v>164493</v>
      </c>
      <c r="G9" s="57">
        <f t="shared" si="2"/>
        <v>0.45592218229452475</v>
      </c>
      <c r="H9" s="99">
        <f t="shared" si="1"/>
        <v>51511</v>
      </c>
      <c r="Q9" s="394" t="s">
        <v>431</v>
      </c>
    </row>
    <row r="10" spans="1:17">
      <c r="A10" s="326"/>
      <c r="B10" s="327"/>
      <c r="C10" s="327"/>
      <c r="D10" s="327" t="s">
        <v>514</v>
      </c>
      <c r="E10" s="16">
        <v>10625</v>
      </c>
      <c r="F10" s="16">
        <v>2308</v>
      </c>
      <c r="G10" s="57">
        <f>IFERROR(F10/E10-1,0)</f>
        <v>-0.7827764705882353</v>
      </c>
      <c r="H10" s="99">
        <f>F10-E10</f>
        <v>-8317</v>
      </c>
      <c r="Q10" s="394" t="s">
        <v>432</v>
      </c>
    </row>
    <row r="11" spans="1:17">
      <c r="A11" s="326"/>
      <c r="B11" s="327"/>
      <c r="C11" s="327"/>
      <c r="D11" s="327" t="s">
        <v>515</v>
      </c>
      <c r="E11" s="16">
        <v>14325</v>
      </c>
      <c r="F11" s="16">
        <v>12305</v>
      </c>
      <c r="G11" s="57">
        <f>IFERROR(F11/E11-1,0)</f>
        <v>-0.14101221640488659</v>
      </c>
      <c r="H11" s="99">
        <f>F11-E11</f>
        <v>-2020</v>
      </c>
      <c r="Q11" s="394" t="s">
        <v>433</v>
      </c>
    </row>
    <row r="12" spans="1:17">
      <c r="A12" s="326"/>
      <c r="B12" s="327"/>
      <c r="C12" s="327"/>
      <c r="D12" s="327" t="s">
        <v>516</v>
      </c>
      <c r="E12" s="16">
        <v>3069</v>
      </c>
      <c r="F12" s="16">
        <v>215</v>
      </c>
      <c r="G12" s="57">
        <f>IFERROR(F12/E12-1,0)</f>
        <v>-0.92994460736396223</v>
      </c>
      <c r="H12" s="99">
        <f>F12-E12</f>
        <v>-2854</v>
      </c>
      <c r="Q12" s="394" t="s">
        <v>434</v>
      </c>
    </row>
    <row r="13" spans="1:17">
      <c r="A13" s="326"/>
      <c r="B13" s="327"/>
      <c r="C13" s="327"/>
      <c r="D13" s="327" t="s">
        <v>517</v>
      </c>
      <c r="E13" s="16">
        <v>17719</v>
      </c>
      <c r="F13" s="16">
        <v>16732</v>
      </c>
      <c r="G13" s="57">
        <f>IFERROR(F13/E13-1,0)</f>
        <v>-5.5702917771883298E-2</v>
      </c>
      <c r="H13" s="99">
        <f>F13-E13</f>
        <v>-987</v>
      </c>
      <c r="Q13" s="394" t="s">
        <v>33</v>
      </c>
    </row>
    <row r="14" spans="1:17">
      <c r="A14" s="326"/>
      <c r="B14" s="327"/>
      <c r="C14" s="327"/>
      <c r="D14" s="327" t="s">
        <v>518</v>
      </c>
      <c r="E14" s="16">
        <v>0</v>
      </c>
      <c r="F14" s="16">
        <v>0</v>
      </c>
      <c r="G14" s="57">
        <f>IFERROR(F14/E14-1,0)</f>
        <v>0</v>
      </c>
      <c r="H14" s="99">
        <f>F14-E14</f>
        <v>0</v>
      </c>
    </row>
    <row r="15" spans="1:17">
      <c r="A15" s="326"/>
      <c r="B15" s="327"/>
      <c r="C15" s="327"/>
      <c r="D15" s="327" t="s">
        <v>519</v>
      </c>
      <c r="E15" s="16"/>
      <c r="F15" s="16"/>
      <c r="G15" s="57"/>
      <c r="H15" s="99"/>
    </row>
    <row r="16" spans="1:17">
      <c r="A16" s="326"/>
      <c r="B16" s="327"/>
      <c r="C16" s="327" t="s">
        <v>520</v>
      </c>
      <c r="D16" s="3"/>
      <c r="E16" s="16"/>
      <c r="F16" s="16"/>
      <c r="G16" s="75"/>
      <c r="H16" s="99"/>
    </row>
    <row r="17" spans="1:17">
      <c r="A17" s="326"/>
      <c r="B17" s="327"/>
      <c r="C17" s="327"/>
      <c r="D17" s="327" t="s">
        <v>521</v>
      </c>
      <c r="E17" s="16"/>
      <c r="F17" s="16"/>
      <c r="G17" s="57"/>
      <c r="H17" s="99"/>
    </row>
    <row r="18" spans="1:17">
      <c r="A18" s="326"/>
      <c r="B18" s="327"/>
      <c r="C18" s="327"/>
      <c r="D18" s="327" t="s">
        <v>522</v>
      </c>
      <c r="E18" s="16">
        <v>687</v>
      </c>
      <c r="F18" s="16">
        <v>0</v>
      </c>
      <c r="G18" s="57">
        <f t="shared" ref="G18:G22" si="3">IFERROR(F18/E18-1,0)</f>
        <v>-1</v>
      </c>
      <c r="H18" s="99">
        <f t="shared" ref="H18:H22" si="4">F18-E18</f>
        <v>-687</v>
      </c>
      <c r="Q18" s="394" t="s">
        <v>304</v>
      </c>
    </row>
    <row r="19" spans="1:17">
      <c r="A19" s="326"/>
      <c r="B19" s="327"/>
      <c r="C19" s="327"/>
      <c r="D19" s="327" t="s">
        <v>523</v>
      </c>
      <c r="E19" s="16">
        <v>0</v>
      </c>
      <c r="F19" s="16">
        <v>0</v>
      </c>
      <c r="G19" s="57">
        <f t="shared" si="3"/>
        <v>0</v>
      </c>
      <c r="H19" s="99">
        <f t="shared" si="4"/>
        <v>0</v>
      </c>
      <c r="Q19" s="394" t="s">
        <v>435</v>
      </c>
    </row>
    <row r="20" spans="1:17">
      <c r="A20" s="326"/>
      <c r="B20" s="327"/>
      <c r="C20" s="327"/>
      <c r="D20" s="327" t="s">
        <v>516</v>
      </c>
      <c r="E20" s="16">
        <v>3252</v>
      </c>
      <c r="F20" s="16">
        <v>3318</v>
      </c>
      <c r="G20" s="57">
        <f t="shared" si="3"/>
        <v>2.0295202952029578E-2</v>
      </c>
      <c r="H20" s="99">
        <f t="shared" si="4"/>
        <v>66</v>
      </c>
      <c r="Q20" s="394" t="s">
        <v>32</v>
      </c>
    </row>
    <row r="21" spans="1:17">
      <c r="A21" s="326"/>
      <c r="B21" s="327"/>
      <c r="C21" s="3"/>
      <c r="D21" s="3" t="s">
        <v>524</v>
      </c>
      <c r="E21" s="16">
        <v>6824</v>
      </c>
      <c r="F21" s="16">
        <v>9475</v>
      </c>
      <c r="G21" s="57">
        <f t="shared" si="3"/>
        <v>0.38848182883939031</v>
      </c>
      <c r="H21" s="99">
        <f t="shared" si="4"/>
        <v>2651</v>
      </c>
      <c r="Q21" s="394" t="s">
        <v>436</v>
      </c>
    </row>
    <row r="22" spans="1:17">
      <c r="A22" s="326"/>
      <c r="B22" s="327"/>
      <c r="C22" s="327"/>
      <c r="D22" s="327" t="s">
        <v>518</v>
      </c>
      <c r="E22" s="16">
        <v>0</v>
      </c>
      <c r="F22" s="16">
        <v>0</v>
      </c>
      <c r="G22" s="57">
        <f t="shared" si="3"/>
        <v>0</v>
      </c>
      <c r="H22" s="99">
        <f t="shared" si="4"/>
        <v>0</v>
      </c>
      <c r="Q22" s="394" t="s">
        <v>437</v>
      </c>
    </row>
    <row r="23" spans="1:17">
      <c r="A23" s="326"/>
      <c r="B23" s="327"/>
      <c r="C23" s="327" t="s">
        <v>525</v>
      </c>
      <c r="D23" s="318"/>
      <c r="E23" s="16"/>
      <c r="F23" s="16"/>
      <c r="G23" s="75"/>
      <c r="H23" s="99"/>
    </row>
    <row r="24" spans="1:17">
      <c r="A24" s="326"/>
      <c r="B24" s="327"/>
      <c r="C24" s="327"/>
      <c r="D24" s="327" t="s">
        <v>526</v>
      </c>
      <c r="E24" s="16">
        <v>191623</v>
      </c>
      <c r="F24" s="16">
        <v>192209</v>
      </c>
      <c r="G24" s="57">
        <f>F24/E24-1</f>
        <v>3.0580880165742563E-3</v>
      </c>
      <c r="H24" s="99">
        <f t="shared" ref="H24:H25" si="5">F24-E24</f>
        <v>586</v>
      </c>
      <c r="Q24" s="394" t="s">
        <v>438</v>
      </c>
    </row>
    <row r="25" spans="1:17">
      <c r="A25" s="326"/>
      <c r="B25" s="327"/>
      <c r="C25" s="327"/>
      <c r="D25" s="327" t="s">
        <v>527</v>
      </c>
      <c r="E25" s="16">
        <v>27479</v>
      </c>
      <c r="F25" s="16">
        <v>26689</v>
      </c>
      <c r="G25" s="57">
        <f>F25/E25-1</f>
        <v>-2.8749226682193707E-2</v>
      </c>
      <c r="H25" s="99">
        <f t="shared" si="5"/>
        <v>-790</v>
      </c>
      <c r="Q25" s="394" t="s">
        <v>439</v>
      </c>
    </row>
    <row r="26" spans="1:17">
      <c r="A26" s="319" t="s">
        <v>528</v>
      </c>
      <c r="B26" s="320"/>
      <c r="C26" s="320"/>
      <c r="D26" s="321"/>
      <c r="E26" s="33">
        <f>SUM(E5:E25)</f>
        <v>636880</v>
      </c>
      <c r="F26" s="33">
        <f>SUM(F5:F25)</f>
        <v>688254</v>
      </c>
      <c r="G26" s="81">
        <f>F26/E26-1</f>
        <v>8.0665117447556778E-2</v>
      </c>
      <c r="H26" s="83">
        <f>F26-E26</f>
        <v>51374</v>
      </c>
    </row>
    <row r="27" spans="1:17">
      <c r="A27" s="326" t="s">
        <v>529</v>
      </c>
      <c r="B27" s="327"/>
      <c r="C27" s="327"/>
      <c r="D27" s="327"/>
      <c r="E27" s="49"/>
      <c r="F27" s="49"/>
      <c r="G27" s="57"/>
      <c r="H27" s="58"/>
    </row>
    <row r="28" spans="1:17">
      <c r="A28" s="326"/>
      <c r="B28" s="327" t="s">
        <v>530</v>
      </c>
      <c r="C28" s="327"/>
      <c r="D28" s="327"/>
      <c r="E28" s="49"/>
      <c r="F28" s="49"/>
      <c r="G28" s="57"/>
      <c r="H28" s="58"/>
    </row>
    <row r="29" spans="1:17">
      <c r="A29" s="326"/>
      <c r="B29" s="327"/>
      <c r="C29" s="327"/>
      <c r="D29" s="327" t="s">
        <v>531</v>
      </c>
      <c r="E29" s="12"/>
      <c r="F29" s="12"/>
      <c r="G29" s="57"/>
      <c r="H29" s="58"/>
    </row>
    <row r="30" spans="1:17">
      <c r="A30" s="326"/>
      <c r="B30" s="327"/>
      <c r="C30" s="327"/>
      <c r="D30" s="327" t="s">
        <v>532</v>
      </c>
      <c r="E30" s="12">
        <v>16980</v>
      </c>
      <c r="F30" s="16">
        <v>53179</v>
      </c>
      <c r="G30" s="57">
        <f t="shared" ref="G30:G42" si="6">IFERROR(F30/E30-1,0)</f>
        <v>2.1318610129564193</v>
      </c>
      <c r="H30" s="99">
        <f>F30-E30</f>
        <v>36199</v>
      </c>
      <c r="Q30" s="394" t="s">
        <v>440</v>
      </c>
    </row>
    <row r="31" spans="1:17">
      <c r="A31" s="326"/>
      <c r="B31" s="327"/>
      <c r="C31" s="327"/>
      <c r="D31" s="327" t="s">
        <v>533</v>
      </c>
      <c r="E31" s="12">
        <v>36670</v>
      </c>
      <c r="F31" s="16">
        <v>52734</v>
      </c>
      <c r="G31" s="57">
        <f t="shared" si="6"/>
        <v>0.43806926643032451</v>
      </c>
      <c r="H31" s="99">
        <f t="shared" ref="H31:H42" si="7">F31-E31</f>
        <v>16064</v>
      </c>
      <c r="Q31" s="394" t="s">
        <v>441</v>
      </c>
    </row>
    <row r="32" spans="1:17">
      <c r="A32" s="326"/>
      <c r="B32" s="327"/>
      <c r="C32" s="327"/>
      <c r="D32" s="327"/>
      <c r="E32" s="16">
        <v>54</v>
      </c>
      <c r="F32" s="16">
        <v>0</v>
      </c>
      <c r="G32" s="57"/>
      <c r="H32" s="99"/>
      <c r="Q32" s="394" t="s">
        <v>423</v>
      </c>
    </row>
    <row r="33" spans="1:17">
      <c r="A33" s="326"/>
      <c r="B33" s="327"/>
      <c r="C33" s="327"/>
      <c r="D33" s="327" t="s">
        <v>534</v>
      </c>
      <c r="E33" s="12">
        <v>5557</v>
      </c>
      <c r="F33" s="16">
        <v>5063</v>
      </c>
      <c r="G33" s="57">
        <f t="shared" si="6"/>
        <v>-8.8896886809429532E-2</v>
      </c>
      <c r="H33" s="99">
        <f t="shared" si="7"/>
        <v>-494</v>
      </c>
      <c r="Q33" s="394" t="s">
        <v>442</v>
      </c>
    </row>
    <row r="34" spans="1:17">
      <c r="A34" s="326"/>
      <c r="B34" s="327"/>
      <c r="C34" s="327"/>
      <c r="D34" s="327" t="s">
        <v>535</v>
      </c>
      <c r="E34" s="12">
        <v>504</v>
      </c>
      <c r="F34" s="16">
        <v>568</v>
      </c>
      <c r="G34" s="57">
        <f t="shared" si="6"/>
        <v>0.12698412698412698</v>
      </c>
      <c r="H34" s="99">
        <f t="shared" si="7"/>
        <v>64</v>
      </c>
      <c r="Q34" s="394" t="s">
        <v>443</v>
      </c>
    </row>
    <row r="35" spans="1:17">
      <c r="A35" s="326"/>
      <c r="B35" s="327"/>
      <c r="C35" s="327"/>
      <c r="D35" s="327" t="s">
        <v>536</v>
      </c>
      <c r="E35" s="12">
        <v>0</v>
      </c>
      <c r="F35" s="16">
        <v>0</v>
      </c>
      <c r="G35" s="57">
        <f t="shared" si="6"/>
        <v>0</v>
      </c>
      <c r="H35" s="99">
        <f t="shared" si="7"/>
        <v>0</v>
      </c>
      <c r="Q35" s="394" t="s">
        <v>444</v>
      </c>
    </row>
    <row r="36" spans="1:17">
      <c r="A36" s="326"/>
      <c r="B36" s="327"/>
      <c r="C36" s="327"/>
      <c r="D36" s="327" t="s">
        <v>537</v>
      </c>
      <c r="E36" s="16">
        <v>10505</v>
      </c>
      <c r="F36" s="16">
        <v>12811</v>
      </c>
      <c r="G36" s="57">
        <f t="shared" si="6"/>
        <v>0.21951451689671586</v>
      </c>
      <c r="H36" s="99">
        <f t="shared" si="7"/>
        <v>2306</v>
      </c>
      <c r="Q36" s="394" t="s">
        <v>41</v>
      </c>
    </row>
    <row r="37" spans="1:17">
      <c r="A37" s="326"/>
      <c r="B37" s="327"/>
      <c r="C37" s="327"/>
      <c r="D37" s="327" t="s">
        <v>538</v>
      </c>
      <c r="E37" s="16">
        <v>129</v>
      </c>
      <c r="F37" s="16">
        <v>140</v>
      </c>
      <c r="G37" s="57">
        <f t="shared" si="6"/>
        <v>8.5271317829457294E-2</v>
      </c>
      <c r="H37" s="99">
        <f t="shared" si="7"/>
        <v>11</v>
      </c>
      <c r="Q37" s="394" t="s">
        <v>445</v>
      </c>
    </row>
    <row r="38" spans="1:17">
      <c r="A38" s="326"/>
      <c r="B38" s="327"/>
      <c r="C38" s="327"/>
      <c r="D38" s="327" t="s">
        <v>517</v>
      </c>
      <c r="E38" s="16">
        <v>0</v>
      </c>
      <c r="F38" s="16">
        <v>5856</v>
      </c>
      <c r="G38" s="57">
        <f t="shared" si="6"/>
        <v>0</v>
      </c>
      <c r="H38" s="99">
        <f t="shared" si="7"/>
        <v>5856</v>
      </c>
      <c r="Q38" s="394" t="s">
        <v>434</v>
      </c>
    </row>
    <row r="39" spans="1:17">
      <c r="A39" s="326"/>
      <c r="B39" s="327"/>
      <c r="C39" s="327"/>
      <c r="D39" s="327" t="s">
        <v>539</v>
      </c>
      <c r="E39" s="16">
        <v>1676</v>
      </c>
      <c r="F39" s="16">
        <v>1661</v>
      </c>
      <c r="G39" s="57">
        <f t="shared" si="6"/>
        <v>-8.9498806682577481E-3</v>
      </c>
      <c r="H39" s="99">
        <f t="shared" si="7"/>
        <v>-15</v>
      </c>
      <c r="Q39" s="394" t="s">
        <v>446</v>
      </c>
    </row>
    <row r="40" spans="1:17">
      <c r="A40" s="326"/>
      <c r="B40" s="327"/>
      <c r="C40" s="327"/>
      <c r="D40" s="327" t="s">
        <v>540</v>
      </c>
      <c r="E40" s="16">
        <v>7719</v>
      </c>
      <c r="F40" s="16">
        <v>12076</v>
      </c>
      <c r="G40" s="57">
        <f t="shared" si="6"/>
        <v>0.56445135380230593</v>
      </c>
      <c r="H40" s="99">
        <f t="shared" si="7"/>
        <v>4357</v>
      </c>
      <c r="Q40" s="394" t="s">
        <v>43</v>
      </c>
    </row>
    <row r="41" spans="1:17">
      <c r="A41" s="326"/>
      <c r="B41" s="327"/>
      <c r="C41" s="327"/>
      <c r="D41" s="327" t="s">
        <v>541</v>
      </c>
      <c r="E41" s="16">
        <v>0</v>
      </c>
      <c r="F41" s="16">
        <v>0</v>
      </c>
      <c r="G41" s="57">
        <f t="shared" si="6"/>
        <v>0</v>
      </c>
      <c r="H41" s="99">
        <f t="shared" si="7"/>
        <v>0</v>
      </c>
      <c r="Q41" s="394" t="s">
        <v>447</v>
      </c>
    </row>
    <row r="42" spans="1:17">
      <c r="A42" s="326"/>
      <c r="B42" s="327"/>
      <c r="C42" s="327"/>
      <c r="D42" s="327" t="s">
        <v>542</v>
      </c>
      <c r="E42" s="16">
        <v>0</v>
      </c>
      <c r="F42" s="16">
        <v>0</v>
      </c>
      <c r="G42" s="57">
        <f t="shared" si="6"/>
        <v>0</v>
      </c>
      <c r="H42" s="99">
        <f t="shared" si="7"/>
        <v>0</v>
      </c>
      <c r="Q42" s="394" t="s">
        <v>448</v>
      </c>
    </row>
    <row r="43" spans="1:17">
      <c r="A43" s="326"/>
      <c r="B43" s="327" t="s">
        <v>543</v>
      </c>
      <c r="C43" s="3"/>
      <c r="D43" s="3"/>
      <c r="E43" s="16"/>
      <c r="F43" s="16"/>
      <c r="G43" s="57"/>
      <c r="H43" s="99"/>
    </row>
    <row r="44" spans="1:17">
      <c r="A44" s="326"/>
      <c r="B44" s="327"/>
      <c r="C44" s="327"/>
      <c r="D44" s="327" t="s">
        <v>532</v>
      </c>
      <c r="E44" s="16">
        <v>69021</v>
      </c>
      <c r="F44" s="16">
        <v>44009</v>
      </c>
      <c r="G44" s="57">
        <f t="shared" ref="G44:G53" si="8">IFERROR(F44/E44-1,0)</f>
        <v>-0.36238246330826851</v>
      </c>
      <c r="H44" s="99">
        <f t="shared" ref="H44:H53" si="9">F44-E44</f>
        <v>-25012</v>
      </c>
      <c r="Q44" s="394" t="s">
        <v>440</v>
      </c>
    </row>
    <row r="45" spans="1:17">
      <c r="A45" s="326"/>
      <c r="B45" s="327"/>
      <c r="C45" s="327"/>
      <c r="D45" s="327" t="s">
        <v>534</v>
      </c>
      <c r="E45" s="16">
        <v>1311</v>
      </c>
      <c r="F45" s="16">
        <v>1132</v>
      </c>
      <c r="G45" s="57">
        <f t="shared" si="8"/>
        <v>-0.13653699466056446</v>
      </c>
      <c r="H45" s="99">
        <f t="shared" si="9"/>
        <v>-179</v>
      </c>
      <c r="Q45" s="394" t="s">
        <v>450</v>
      </c>
    </row>
    <row r="46" spans="1:17">
      <c r="A46" s="326"/>
      <c r="B46" s="327"/>
      <c r="C46" s="327"/>
      <c r="D46" s="327" t="s">
        <v>535</v>
      </c>
      <c r="E46" s="16">
        <v>33286</v>
      </c>
      <c r="F46" s="16">
        <v>28343</v>
      </c>
      <c r="G46" s="57">
        <f t="shared" si="8"/>
        <v>-0.14850087123715672</v>
      </c>
      <c r="H46" s="99">
        <f t="shared" si="9"/>
        <v>-4943</v>
      </c>
      <c r="Q46" s="394" t="s">
        <v>449</v>
      </c>
    </row>
    <row r="47" spans="1:17">
      <c r="A47" s="326"/>
      <c r="B47" s="327"/>
      <c r="C47" s="327"/>
      <c r="D47" s="327" t="s">
        <v>544</v>
      </c>
      <c r="E47" s="16">
        <v>47483</v>
      </c>
      <c r="F47" s="16">
        <v>49582</v>
      </c>
      <c r="G47" s="57">
        <f t="shared" si="8"/>
        <v>4.4205294526462158E-2</v>
      </c>
      <c r="H47" s="99">
        <f t="shared" si="9"/>
        <v>2099</v>
      </c>
      <c r="Q47" s="394" t="s">
        <v>451</v>
      </c>
    </row>
    <row r="48" spans="1:17">
      <c r="A48" s="326"/>
      <c r="B48" s="327"/>
      <c r="C48" s="327"/>
      <c r="D48" s="327" t="s">
        <v>517</v>
      </c>
      <c r="E48" s="16">
        <v>0</v>
      </c>
      <c r="F48" s="16">
        <v>0</v>
      </c>
      <c r="G48" s="57">
        <f t="shared" si="8"/>
        <v>0</v>
      </c>
      <c r="H48" s="99">
        <f t="shared" si="9"/>
        <v>0</v>
      </c>
      <c r="Q48" s="394" t="s">
        <v>434</v>
      </c>
    </row>
    <row r="49" spans="1:17">
      <c r="A49" s="326"/>
      <c r="B49" s="327"/>
      <c r="C49" s="327"/>
      <c r="D49" s="327" t="s">
        <v>545</v>
      </c>
      <c r="E49" s="16">
        <v>0</v>
      </c>
      <c r="F49" s="16">
        <v>0</v>
      </c>
      <c r="G49" s="57">
        <f t="shared" si="8"/>
        <v>0</v>
      </c>
      <c r="H49" s="99">
        <f t="shared" si="9"/>
        <v>0</v>
      </c>
      <c r="Q49" s="394" t="s">
        <v>452</v>
      </c>
    </row>
    <row r="50" spans="1:17">
      <c r="A50" s="326"/>
      <c r="B50" s="327"/>
      <c r="C50" s="327"/>
      <c r="D50" s="327" t="s">
        <v>403</v>
      </c>
      <c r="E50" s="16">
        <v>0</v>
      </c>
      <c r="F50" s="16">
        <v>0</v>
      </c>
      <c r="G50" s="57">
        <f t="shared" si="8"/>
        <v>0</v>
      </c>
      <c r="H50" s="99">
        <f t="shared" si="9"/>
        <v>0</v>
      </c>
      <c r="Q50" s="394" t="s">
        <v>448</v>
      </c>
    </row>
    <row r="51" spans="1:17">
      <c r="A51" s="326"/>
      <c r="B51" s="327"/>
      <c r="C51" s="327"/>
      <c r="D51" s="327" t="s">
        <v>402</v>
      </c>
      <c r="E51" s="12">
        <v>2403</v>
      </c>
      <c r="F51" s="16">
        <v>1536</v>
      </c>
      <c r="G51" s="57">
        <f t="shared" si="8"/>
        <v>-0.36079900124843944</v>
      </c>
      <c r="H51" s="99">
        <f t="shared" si="9"/>
        <v>-867</v>
      </c>
      <c r="Q51" s="394" t="s">
        <v>453</v>
      </c>
    </row>
    <row r="52" spans="1:17">
      <c r="A52" s="326"/>
      <c r="B52" s="327"/>
      <c r="C52" s="327"/>
      <c r="D52" s="327" t="s">
        <v>405</v>
      </c>
      <c r="E52" s="16">
        <v>1709</v>
      </c>
      <c r="F52" s="16">
        <v>1709</v>
      </c>
      <c r="G52" s="57">
        <f t="shared" si="8"/>
        <v>0</v>
      </c>
      <c r="H52" s="99">
        <f t="shared" si="9"/>
        <v>0</v>
      </c>
      <c r="Q52" s="394" t="s">
        <v>447</v>
      </c>
    </row>
    <row r="53" spans="1:17">
      <c r="A53" s="326"/>
      <c r="B53" s="327"/>
      <c r="C53" s="327"/>
      <c r="D53" s="327" t="s">
        <v>540</v>
      </c>
      <c r="E53" s="16">
        <v>0</v>
      </c>
      <c r="F53" s="16">
        <v>0</v>
      </c>
      <c r="G53" s="57">
        <f t="shared" si="8"/>
        <v>0</v>
      </c>
      <c r="H53" s="99">
        <f t="shared" si="9"/>
        <v>0</v>
      </c>
      <c r="Q53" s="394" t="s">
        <v>43</v>
      </c>
    </row>
    <row r="54" spans="1:17">
      <c r="A54" s="319" t="s">
        <v>546</v>
      </c>
      <c r="B54" s="320"/>
      <c r="C54" s="320"/>
      <c r="D54" s="320"/>
      <c r="E54" s="33">
        <f>SUM(E29:E53)</f>
        <v>235007</v>
      </c>
      <c r="F54" s="33">
        <f>SUM(F29:F53)</f>
        <v>270399</v>
      </c>
      <c r="G54" s="81">
        <f>F54/E54-1</f>
        <v>0.15059976936857189</v>
      </c>
      <c r="H54" s="83">
        <f>F54-E54</f>
        <v>35392</v>
      </c>
    </row>
    <row r="55" spans="1:17">
      <c r="A55" s="326" t="s">
        <v>547</v>
      </c>
      <c r="B55" s="327"/>
      <c r="C55" s="327"/>
      <c r="D55" s="327"/>
      <c r="E55" s="49"/>
      <c r="F55" s="49"/>
      <c r="G55" s="57"/>
      <c r="H55" s="58"/>
    </row>
    <row r="56" spans="1:17">
      <c r="A56" s="326"/>
      <c r="B56" s="327" t="s">
        <v>548</v>
      </c>
      <c r="C56" s="327"/>
      <c r="D56" s="327"/>
      <c r="E56" s="16">
        <v>130583</v>
      </c>
      <c r="F56" s="16">
        <v>130583</v>
      </c>
      <c r="G56" s="57">
        <f t="shared" ref="G56:G64" si="10">IFERROR(F56/E56-1,0)</f>
        <v>0</v>
      </c>
      <c r="H56" s="99">
        <f t="shared" ref="H56:H63" si="11">F56-E56</f>
        <v>0</v>
      </c>
      <c r="Q56" s="394" t="s">
        <v>45</v>
      </c>
    </row>
    <row r="57" spans="1:17">
      <c r="A57" s="326"/>
      <c r="B57" s="327" t="s">
        <v>549</v>
      </c>
      <c r="C57" s="327"/>
      <c r="D57" s="327"/>
      <c r="E57" s="16">
        <v>-11477</v>
      </c>
      <c r="F57" s="16">
        <v>-4929</v>
      </c>
      <c r="G57" s="57">
        <f t="shared" si="10"/>
        <v>-0.57053236908599803</v>
      </c>
      <c r="H57" s="99">
        <f t="shared" si="11"/>
        <v>6548</v>
      </c>
      <c r="Q57" s="394" t="s">
        <v>454</v>
      </c>
    </row>
    <row r="58" spans="1:17">
      <c r="A58" s="326"/>
      <c r="B58" s="327" t="s">
        <v>550</v>
      </c>
      <c r="C58" s="327"/>
      <c r="D58" s="327"/>
      <c r="E58" s="16">
        <v>-10870</v>
      </c>
      <c r="F58" s="16">
        <v>-10870</v>
      </c>
      <c r="G58" s="57">
        <f t="shared" si="10"/>
        <v>0</v>
      </c>
      <c r="H58" s="99">
        <f t="shared" si="11"/>
        <v>0</v>
      </c>
      <c r="Q58" s="394" t="s">
        <v>46</v>
      </c>
    </row>
    <row r="59" spans="1:17">
      <c r="A59" s="326"/>
      <c r="B59" s="327" t="s">
        <v>551</v>
      </c>
      <c r="C59" s="3"/>
      <c r="D59" s="3"/>
      <c r="E59" s="16">
        <v>160202</v>
      </c>
      <c r="F59" s="16">
        <v>122236</v>
      </c>
      <c r="G59" s="57">
        <f t="shared" si="10"/>
        <v>-0.23698830226838619</v>
      </c>
      <c r="H59" s="99">
        <f t="shared" si="11"/>
        <v>-37966</v>
      </c>
      <c r="Q59" s="394" t="s">
        <v>47</v>
      </c>
    </row>
    <row r="60" spans="1:17">
      <c r="A60" s="326"/>
      <c r="B60" s="327" t="s">
        <v>552</v>
      </c>
      <c r="C60" s="327"/>
      <c r="D60" s="327"/>
      <c r="E60" s="16">
        <v>26209</v>
      </c>
      <c r="F60" s="16">
        <v>59482</v>
      </c>
      <c r="G60" s="57">
        <f t="shared" si="10"/>
        <v>1.2695257354343927</v>
      </c>
      <c r="H60" s="99">
        <f t="shared" si="11"/>
        <v>33273</v>
      </c>
      <c r="Q60" s="394" t="s">
        <v>48</v>
      </c>
    </row>
    <row r="61" spans="1:17">
      <c r="A61" s="326"/>
      <c r="B61" s="327" t="s">
        <v>553</v>
      </c>
      <c r="C61" s="327"/>
      <c r="D61" s="327"/>
      <c r="E61" s="16">
        <v>-14335</v>
      </c>
      <c r="F61" s="16">
        <v>-14409</v>
      </c>
      <c r="G61" s="57">
        <f t="shared" si="10"/>
        <v>5.1621904429717258E-3</v>
      </c>
      <c r="H61" s="99">
        <f t="shared" si="11"/>
        <v>-74</v>
      </c>
      <c r="I61" s="351"/>
      <c r="Q61" s="394" t="s">
        <v>49</v>
      </c>
    </row>
    <row r="62" spans="1:17">
      <c r="A62" s="326"/>
      <c r="B62" s="327" t="s">
        <v>554</v>
      </c>
      <c r="C62" s="327"/>
      <c r="D62" s="327"/>
      <c r="E62" s="16">
        <v>0</v>
      </c>
      <c r="F62" s="16"/>
      <c r="G62" s="57">
        <f t="shared" si="10"/>
        <v>0</v>
      </c>
      <c r="H62" s="99">
        <f t="shared" si="11"/>
        <v>0</v>
      </c>
      <c r="I62" s="351"/>
      <c r="Q62" s="394" t="s">
        <v>409</v>
      </c>
    </row>
    <row r="63" spans="1:17">
      <c r="A63" s="326"/>
      <c r="B63" s="3" t="s">
        <v>555</v>
      </c>
      <c r="C63" s="327"/>
      <c r="D63" s="327"/>
      <c r="E63" s="16">
        <v>95620</v>
      </c>
      <c r="F63" s="16">
        <v>112180</v>
      </c>
      <c r="G63" s="57">
        <f t="shared" si="10"/>
        <v>0.17318552604057724</v>
      </c>
      <c r="H63" s="99">
        <f t="shared" si="11"/>
        <v>16560</v>
      </c>
      <c r="I63" s="351"/>
      <c r="Q63" s="394" t="s">
        <v>420</v>
      </c>
    </row>
    <row r="64" spans="1:17">
      <c r="A64" s="326"/>
      <c r="B64" s="322" t="s">
        <v>421</v>
      </c>
      <c r="C64" s="327"/>
      <c r="D64" s="327"/>
      <c r="E64" s="16">
        <v>25941</v>
      </c>
      <c r="F64" s="16">
        <v>23582</v>
      </c>
      <c r="G64" s="57">
        <f t="shared" si="10"/>
        <v>-9.0937126556416503E-2</v>
      </c>
      <c r="H64" s="99">
        <f t="shared" ref="H64" si="12">F64-E64</f>
        <v>-2359</v>
      </c>
      <c r="I64" s="351"/>
      <c r="Q64" s="394" t="s">
        <v>455</v>
      </c>
    </row>
    <row r="65" spans="1:8">
      <c r="A65" s="319" t="s">
        <v>556</v>
      </c>
      <c r="B65" s="320"/>
      <c r="C65" s="320"/>
      <c r="D65" s="320"/>
      <c r="E65" s="34">
        <f>SUM(E55:E64)</f>
        <v>401873</v>
      </c>
      <c r="F65" s="34">
        <f>SUM(F55:F64)</f>
        <v>417855</v>
      </c>
      <c r="G65" s="81">
        <f>F65/E65-1</f>
        <v>3.9768782675123626E-2</v>
      </c>
      <c r="H65" s="83">
        <f>F65-E65</f>
        <v>15982</v>
      </c>
    </row>
    <row r="66" spans="1:8">
      <c r="A66" s="326"/>
      <c r="B66" s="327"/>
      <c r="C66" s="327"/>
      <c r="D66" s="327"/>
      <c r="E66" s="49"/>
      <c r="F66" s="49"/>
      <c r="G66" s="57"/>
      <c r="H66" s="58"/>
    </row>
    <row r="67" spans="1:8" ht="12.6" thickBot="1">
      <c r="A67" s="330" t="s">
        <v>557</v>
      </c>
      <c r="B67" s="331"/>
      <c r="C67" s="331"/>
      <c r="D67" s="331"/>
      <c r="E67" s="35">
        <f>E65+E54</f>
        <v>636880</v>
      </c>
      <c r="F67" s="35">
        <f>F65+F54</f>
        <v>688254</v>
      </c>
      <c r="G67" s="76">
        <f>F67/E67-1</f>
        <v>8.0665117447556778E-2</v>
      </c>
      <c r="H67" s="77">
        <f>F67-E67</f>
        <v>51374</v>
      </c>
    </row>
    <row r="68" spans="1:8">
      <c r="E68" s="352">
        <v>0</v>
      </c>
      <c r="F68" s="352">
        <f>F67-F26</f>
        <v>0</v>
      </c>
    </row>
    <row r="69" spans="1:8">
      <c r="E69" s="350"/>
      <c r="F69" s="353"/>
      <c r="H69" s="354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AA113"/>
  <sheetViews>
    <sheetView showGridLines="0" zoomScale="90" zoomScaleNormal="90" workbookViewId="0">
      <pane xSplit="2" ySplit="2" topLeftCell="C3" activePane="bottomRight" state="frozen"/>
      <selection activeCell="AE9" sqref="AE9"/>
      <selection pane="topRight" activeCell="AE9" sqref="AE9"/>
      <selection pane="bottomLeft" activeCell="AE9" sqref="AE9"/>
      <selection pane="bottomRight" activeCell="J18" sqref="J18"/>
    </sheetView>
  </sheetViews>
  <sheetFormatPr defaultColWidth="9.109375" defaultRowHeight="15.75" customHeight="1" outlineLevelRow="1"/>
  <cols>
    <col min="1" max="1" width="2.88671875" style="3" customWidth="1"/>
    <col min="2" max="2" width="68.88671875" style="3" bestFit="1" customWidth="1"/>
    <col min="3" max="3" width="9.5546875" style="31" customWidth="1"/>
    <col min="4" max="4" width="10.109375" style="31" customWidth="1"/>
    <col min="5" max="6" width="9.109375" style="31" customWidth="1"/>
    <col min="7" max="7" width="9.109375" style="45" customWidth="1"/>
    <col min="8" max="8" width="12.109375" style="31" customWidth="1"/>
    <col min="9" max="9" width="10.88671875" style="31" customWidth="1"/>
    <col min="10" max="10" width="11.109375" style="31" customWidth="1"/>
    <col min="11" max="11" width="13.88671875" style="45" hidden="1" customWidth="1"/>
    <col min="12" max="12" width="13.88671875" style="31" hidden="1" customWidth="1"/>
    <col min="13" max="13" width="10.88671875" style="31" hidden="1" customWidth="1"/>
    <col min="14" max="14" width="11.109375" style="31" hidden="1" customWidth="1"/>
    <col min="15" max="15" width="13.88671875" style="45" hidden="1" customWidth="1"/>
    <col min="16" max="16" width="13.88671875" style="31" hidden="1" customWidth="1"/>
    <col min="17" max="17" width="10.88671875" style="31" hidden="1" customWidth="1"/>
    <col min="18" max="18" width="11.109375" style="31" hidden="1" customWidth="1"/>
    <col min="19" max="19" width="10.44140625" style="11" customWidth="1"/>
    <col min="20" max="20" width="10.5546875" style="31" customWidth="1"/>
    <col min="21" max="21" width="11.109375" style="67" customWidth="1"/>
    <col min="22" max="22" width="11" style="67" customWidth="1"/>
    <col min="23" max="23" width="13.109375" style="11" customWidth="1"/>
    <col min="24" max="24" width="6.109375" style="11" bestFit="1" customWidth="1"/>
    <col min="25" max="26" width="9.109375" style="11"/>
    <col min="27" max="27" width="9.109375" style="395"/>
    <col min="28" max="16384" width="9.109375" style="11"/>
  </cols>
  <sheetData>
    <row r="1" spans="1:27" ht="90.75" customHeight="1" thickBot="1"/>
    <row r="2" spans="1:27" ht="15.75" customHeight="1" thickBot="1">
      <c r="A2" s="323" t="s">
        <v>410</v>
      </c>
      <c r="B2" s="324"/>
      <c r="C2" s="1" t="s">
        <v>424</v>
      </c>
      <c r="D2" s="1" t="s">
        <v>464</v>
      </c>
      <c r="E2" s="86" t="s">
        <v>0</v>
      </c>
      <c r="F2" s="87" t="s">
        <v>1</v>
      </c>
      <c r="G2" s="1" t="s">
        <v>425</v>
      </c>
      <c r="H2" s="1" t="s">
        <v>465</v>
      </c>
      <c r="I2" s="86" t="s">
        <v>0</v>
      </c>
      <c r="J2" s="87" t="s">
        <v>1</v>
      </c>
      <c r="K2" s="1" t="s">
        <v>426</v>
      </c>
      <c r="L2" s="1" t="s">
        <v>466</v>
      </c>
      <c r="M2" s="86" t="s">
        <v>0</v>
      </c>
      <c r="N2" s="87" t="s">
        <v>1</v>
      </c>
      <c r="O2" s="1" t="s">
        <v>427</v>
      </c>
      <c r="P2" s="1" t="s">
        <v>467</v>
      </c>
      <c r="Q2" s="86" t="s">
        <v>0</v>
      </c>
      <c r="R2" s="87" t="s">
        <v>1</v>
      </c>
      <c r="S2" s="1">
        <v>2024</v>
      </c>
      <c r="T2" s="5">
        <v>2025</v>
      </c>
      <c r="U2" s="86" t="s">
        <v>0</v>
      </c>
      <c r="V2" s="87" t="s">
        <v>1</v>
      </c>
    </row>
    <row r="3" spans="1:27" ht="15.75" customHeight="1">
      <c r="A3" s="325" t="s">
        <v>558</v>
      </c>
      <c r="C3" s="47"/>
      <c r="D3" s="28"/>
      <c r="F3" s="32"/>
      <c r="G3" s="28"/>
      <c r="H3" s="28"/>
      <c r="J3" s="32"/>
      <c r="K3" s="28"/>
      <c r="L3" s="28"/>
      <c r="N3" s="32"/>
      <c r="O3" s="28"/>
      <c r="P3" s="28"/>
      <c r="R3" s="32"/>
      <c r="S3" s="46"/>
      <c r="T3" s="28"/>
      <c r="V3" s="68"/>
    </row>
    <row r="4" spans="1:27" s="390" customFormat="1" ht="15.75" customHeight="1" outlineLevel="1">
      <c r="A4" s="384"/>
      <c r="B4" s="385" t="s">
        <v>487</v>
      </c>
      <c r="C4" s="398">
        <v>9400</v>
      </c>
      <c r="D4" s="389">
        <v>5205</v>
      </c>
      <c r="E4" s="387">
        <f>IFERROR(D4/C4-1,"")</f>
        <v>-0.44627659574468082</v>
      </c>
      <c r="F4" s="388">
        <f>D4-C4</f>
        <v>-4195</v>
      </c>
      <c r="G4" s="386">
        <v>25465</v>
      </c>
      <c r="H4" s="389">
        <f>T4-D4</f>
        <v>23293</v>
      </c>
      <c r="I4" s="387">
        <f>IFERROR(H4/G4-1,"")</f>
        <v>-8.5293540153151381E-2</v>
      </c>
      <c r="J4" s="388">
        <f>H4-G4</f>
        <v>-2172</v>
      </c>
      <c r="K4" s="386">
        <v>14707</v>
      </c>
      <c r="L4" s="389"/>
      <c r="M4" s="387">
        <f>IFERROR(L4/K4-1,"")</f>
        <v>-1</v>
      </c>
      <c r="N4" s="388">
        <f>L4-K4</f>
        <v>-14707</v>
      </c>
      <c r="O4" s="389">
        <v>35528</v>
      </c>
      <c r="P4" s="389"/>
      <c r="Q4" s="387">
        <f>IFERROR(P4/O4-1,"")</f>
        <v>-1</v>
      </c>
      <c r="R4" s="388">
        <f>P4-O4</f>
        <v>-35528</v>
      </c>
      <c r="S4" s="389">
        <f>C4+G4</f>
        <v>34865</v>
      </c>
      <c r="T4" s="389">
        <v>28498</v>
      </c>
      <c r="U4" s="387">
        <f>IFERROR(T4/S4-1,"")</f>
        <v>-0.18261867202065107</v>
      </c>
      <c r="V4" s="388">
        <f>T4-S4</f>
        <v>-6367</v>
      </c>
      <c r="X4" s="391"/>
      <c r="AA4" s="396" t="s">
        <v>9</v>
      </c>
    </row>
    <row r="5" spans="1:27" ht="15.75" customHeight="1">
      <c r="A5" s="326" t="s">
        <v>559</v>
      </c>
      <c r="B5" s="327"/>
      <c r="C5" s="13"/>
      <c r="D5" s="95"/>
      <c r="E5" s="57"/>
      <c r="F5" s="96"/>
      <c r="G5" s="95">
        <v>0</v>
      </c>
      <c r="H5" s="95"/>
      <c r="I5" s="57"/>
      <c r="J5" s="96"/>
      <c r="K5" s="95">
        <v>0</v>
      </c>
      <c r="L5" s="95"/>
      <c r="M5" s="57"/>
      <c r="N5" s="96"/>
      <c r="O5" s="95"/>
      <c r="P5" s="95"/>
      <c r="Q5" s="57"/>
      <c r="R5" s="96"/>
      <c r="S5" s="95"/>
      <c r="T5" s="95"/>
      <c r="U5" s="57"/>
      <c r="V5" s="96"/>
      <c r="X5" s="341"/>
    </row>
    <row r="6" spans="1:27" ht="15.75" customHeight="1" outlineLevel="1">
      <c r="A6" s="326"/>
      <c r="B6" s="327" t="s">
        <v>560</v>
      </c>
      <c r="C6" s="95">
        <v>2437</v>
      </c>
      <c r="D6" s="95">
        <v>2691</v>
      </c>
      <c r="E6" s="57">
        <f t="shared" ref="E6:E23" si="0">IFERROR(D6/C6-1,"")</f>
        <v>0.10422650800164135</v>
      </c>
      <c r="F6" s="96">
        <f t="shared" ref="F6:F23" si="1">D6-C6</f>
        <v>254</v>
      </c>
      <c r="G6" s="95">
        <v>2513</v>
      </c>
      <c r="H6" s="95">
        <f t="shared" ref="H6:H22" si="2">T6-D6</f>
        <v>2843</v>
      </c>
      <c r="I6" s="57">
        <f t="shared" ref="I6:I23" si="3">IFERROR(H6/G6-1,"")</f>
        <v>0.13131715081575801</v>
      </c>
      <c r="J6" s="96">
        <f t="shared" ref="J6:J23" si="4">H6-G6</f>
        <v>330</v>
      </c>
      <c r="K6" s="95">
        <v>2972</v>
      </c>
      <c r="L6" s="95"/>
      <c r="M6" s="57">
        <f t="shared" ref="M6:M23" si="5">IFERROR(L6/K6-1,"")</f>
        <v>-1</v>
      </c>
      <c r="N6" s="96">
        <f t="shared" ref="N6:N23" si="6">L6-K6</f>
        <v>-2972</v>
      </c>
      <c r="O6" s="95">
        <v>2654</v>
      </c>
      <c r="P6" s="95"/>
      <c r="Q6" s="57">
        <f t="shared" ref="Q6:Q23" si="7">IFERROR(P6/O6-1,"")</f>
        <v>-1</v>
      </c>
      <c r="R6" s="96">
        <f t="shared" ref="R6:R23" si="8">P6-O6</f>
        <v>-2654</v>
      </c>
      <c r="S6" s="100">
        <f t="shared" ref="S6:S22" si="9">C6+G6</f>
        <v>4950</v>
      </c>
      <c r="T6" s="95">
        <v>5534</v>
      </c>
      <c r="U6" s="57">
        <f t="shared" ref="U6:U23" si="10">IFERROR(T6/S6-1,"")</f>
        <v>0.11797979797979807</v>
      </c>
      <c r="V6" s="96">
        <f t="shared" ref="V6:V23" si="11">T6-S6</f>
        <v>584</v>
      </c>
      <c r="X6" s="341"/>
      <c r="AA6" s="395" t="s">
        <v>11</v>
      </c>
    </row>
    <row r="7" spans="1:27" ht="15.75" customHeight="1" outlineLevel="1">
      <c r="A7" s="326"/>
      <c r="B7" s="327" t="s">
        <v>561</v>
      </c>
      <c r="C7" s="95">
        <v>0</v>
      </c>
      <c r="D7" s="95"/>
      <c r="E7" s="57" t="str">
        <f t="shared" si="0"/>
        <v/>
      </c>
      <c r="F7" s="96">
        <f t="shared" si="1"/>
        <v>0</v>
      </c>
      <c r="G7" s="95">
        <v>0</v>
      </c>
      <c r="H7" s="95">
        <f t="shared" si="2"/>
        <v>0</v>
      </c>
      <c r="I7" s="57" t="str">
        <f t="shared" si="3"/>
        <v/>
      </c>
      <c r="J7" s="96">
        <f t="shared" si="4"/>
        <v>0</v>
      </c>
      <c r="K7" s="95">
        <v>0</v>
      </c>
      <c r="L7" s="95"/>
      <c r="M7" s="57" t="str">
        <f t="shared" si="5"/>
        <v/>
      </c>
      <c r="N7" s="96">
        <f t="shared" si="6"/>
        <v>0</v>
      </c>
      <c r="O7" s="95">
        <v>0</v>
      </c>
      <c r="P7" s="95"/>
      <c r="Q7" s="57" t="str">
        <f t="shared" si="7"/>
        <v/>
      </c>
      <c r="R7" s="96">
        <f t="shared" si="8"/>
        <v>0</v>
      </c>
      <c r="S7" s="100">
        <f t="shared" si="9"/>
        <v>0</v>
      </c>
      <c r="T7" s="95">
        <v>0</v>
      </c>
      <c r="U7" s="57" t="str">
        <f t="shared" si="10"/>
        <v/>
      </c>
      <c r="V7" s="96">
        <f t="shared" si="11"/>
        <v>0</v>
      </c>
      <c r="X7" s="341"/>
      <c r="AA7" s="395" t="s">
        <v>463</v>
      </c>
    </row>
    <row r="8" spans="1:27" ht="15.75" customHeight="1" outlineLevel="1">
      <c r="A8" s="326"/>
      <c r="B8" s="327" t="s">
        <v>562</v>
      </c>
      <c r="C8" s="95">
        <v>-358</v>
      </c>
      <c r="D8" s="95">
        <v>1049</v>
      </c>
      <c r="E8" s="57">
        <f t="shared" si="0"/>
        <v>-3.930167597765363</v>
      </c>
      <c r="F8" s="96">
        <f t="shared" si="1"/>
        <v>1407</v>
      </c>
      <c r="G8" s="95">
        <v>296</v>
      </c>
      <c r="H8" s="95">
        <f t="shared" si="2"/>
        <v>707</v>
      </c>
      <c r="I8" s="57">
        <f t="shared" si="3"/>
        <v>1.3885135135135136</v>
      </c>
      <c r="J8" s="96">
        <f t="shared" si="4"/>
        <v>411</v>
      </c>
      <c r="K8" s="95">
        <v>262</v>
      </c>
      <c r="L8" s="95"/>
      <c r="M8" s="57">
        <f t="shared" si="5"/>
        <v>-1</v>
      </c>
      <c r="N8" s="96">
        <f t="shared" si="6"/>
        <v>-262</v>
      </c>
      <c r="O8" s="95">
        <v>2310</v>
      </c>
      <c r="P8" s="95"/>
      <c r="Q8" s="57">
        <f t="shared" si="7"/>
        <v>-1</v>
      </c>
      <c r="R8" s="96">
        <f t="shared" si="8"/>
        <v>-2310</v>
      </c>
      <c r="S8" s="100">
        <f t="shared" si="9"/>
        <v>-62</v>
      </c>
      <c r="T8" s="95">
        <v>1756</v>
      </c>
      <c r="U8" s="57">
        <f t="shared" si="10"/>
        <v>-29.322580645161292</v>
      </c>
      <c r="V8" s="96">
        <f t="shared" si="11"/>
        <v>1818</v>
      </c>
      <c r="X8" s="341"/>
      <c r="AA8" s="395" t="s">
        <v>330</v>
      </c>
    </row>
    <row r="9" spans="1:27" ht="15.75" customHeight="1" outlineLevel="1">
      <c r="A9" s="326"/>
      <c r="B9" s="327" t="s">
        <v>563</v>
      </c>
      <c r="C9" s="95">
        <v>438</v>
      </c>
      <c r="D9" s="95">
        <v>532</v>
      </c>
      <c r="E9" s="57">
        <f t="shared" si="0"/>
        <v>0.21461187214611877</v>
      </c>
      <c r="F9" s="96">
        <f t="shared" si="1"/>
        <v>94</v>
      </c>
      <c r="G9" s="95">
        <v>-307</v>
      </c>
      <c r="H9" s="95">
        <f t="shared" si="2"/>
        <v>763</v>
      </c>
      <c r="I9" s="57">
        <f t="shared" si="3"/>
        <v>-3.4853420195439742</v>
      </c>
      <c r="J9" s="96">
        <f t="shared" si="4"/>
        <v>1070</v>
      </c>
      <c r="K9" s="95">
        <v>1493</v>
      </c>
      <c r="L9" s="95"/>
      <c r="M9" s="57">
        <f t="shared" si="5"/>
        <v>-1</v>
      </c>
      <c r="N9" s="96">
        <f t="shared" si="6"/>
        <v>-1493</v>
      </c>
      <c r="O9" s="95">
        <v>183</v>
      </c>
      <c r="P9" s="95"/>
      <c r="Q9" s="57">
        <f t="shared" si="7"/>
        <v>-1</v>
      </c>
      <c r="R9" s="96">
        <f t="shared" si="8"/>
        <v>-183</v>
      </c>
      <c r="S9" s="100">
        <f t="shared" si="9"/>
        <v>131</v>
      </c>
      <c r="T9" s="95">
        <v>1295</v>
      </c>
      <c r="U9" s="57">
        <f t="shared" si="10"/>
        <v>8.8854961832061061</v>
      </c>
      <c r="V9" s="96">
        <f t="shared" si="11"/>
        <v>1164</v>
      </c>
      <c r="X9" s="341"/>
      <c r="AA9" s="395" t="s">
        <v>456</v>
      </c>
    </row>
    <row r="10" spans="1:27" ht="15.75" customHeight="1" outlineLevel="1">
      <c r="A10" s="326"/>
      <c r="B10" s="327" t="s">
        <v>564</v>
      </c>
      <c r="C10" s="95">
        <v>0</v>
      </c>
      <c r="D10" s="95"/>
      <c r="E10" s="57" t="str">
        <f t="shared" si="0"/>
        <v/>
      </c>
      <c r="F10" s="96">
        <f t="shared" si="1"/>
        <v>0</v>
      </c>
      <c r="G10" s="95">
        <v>0</v>
      </c>
      <c r="H10" s="95">
        <f t="shared" si="2"/>
        <v>0</v>
      </c>
      <c r="I10" s="57" t="str">
        <f t="shared" si="3"/>
        <v/>
      </c>
      <c r="J10" s="96">
        <f t="shared" si="4"/>
        <v>0</v>
      </c>
      <c r="K10" s="95">
        <v>0</v>
      </c>
      <c r="L10" s="95"/>
      <c r="M10" s="57" t="str">
        <f t="shared" si="5"/>
        <v/>
      </c>
      <c r="N10" s="96">
        <f t="shared" si="6"/>
        <v>0</v>
      </c>
      <c r="O10" s="95">
        <v>-1760</v>
      </c>
      <c r="P10" s="95"/>
      <c r="Q10" s="57">
        <f t="shared" si="7"/>
        <v>-1</v>
      </c>
      <c r="R10" s="96">
        <f t="shared" si="8"/>
        <v>1760</v>
      </c>
      <c r="S10" s="100">
        <f t="shared" si="9"/>
        <v>0</v>
      </c>
      <c r="T10" s="95">
        <v>0</v>
      </c>
      <c r="U10" s="57" t="str">
        <f t="shared" si="10"/>
        <v/>
      </c>
      <c r="V10" s="96">
        <f t="shared" si="11"/>
        <v>0</v>
      </c>
      <c r="X10" s="341"/>
      <c r="AA10" s="395" t="s">
        <v>419</v>
      </c>
    </row>
    <row r="11" spans="1:27" ht="15.75" customHeight="1" outlineLevel="1">
      <c r="A11" s="326"/>
      <c r="B11" s="327" t="s">
        <v>565</v>
      </c>
      <c r="C11" s="95">
        <v>0</v>
      </c>
      <c r="D11" s="95"/>
      <c r="E11" s="57" t="str">
        <f t="shared" si="0"/>
        <v/>
      </c>
      <c r="F11" s="96">
        <f t="shared" si="1"/>
        <v>0</v>
      </c>
      <c r="G11" s="95">
        <v>0</v>
      </c>
      <c r="H11" s="95">
        <f t="shared" si="2"/>
        <v>0</v>
      </c>
      <c r="I11" s="57" t="str">
        <f t="shared" si="3"/>
        <v/>
      </c>
      <c r="J11" s="96">
        <f t="shared" si="4"/>
        <v>0</v>
      </c>
      <c r="K11" s="95">
        <v>-1143</v>
      </c>
      <c r="L11" s="95"/>
      <c r="M11" s="57">
        <f t="shared" si="5"/>
        <v>-1</v>
      </c>
      <c r="N11" s="96">
        <f t="shared" si="6"/>
        <v>1143</v>
      </c>
      <c r="O11" s="95">
        <v>-57</v>
      </c>
      <c r="P11" s="95"/>
      <c r="Q11" s="57">
        <f t="shared" si="7"/>
        <v>-1</v>
      </c>
      <c r="R11" s="96">
        <f t="shared" si="8"/>
        <v>57</v>
      </c>
      <c r="S11" s="100">
        <f t="shared" si="9"/>
        <v>0</v>
      </c>
      <c r="T11" s="95">
        <v>0</v>
      </c>
      <c r="U11" s="57" t="str">
        <f t="shared" si="10"/>
        <v/>
      </c>
      <c r="V11" s="96">
        <f t="shared" si="11"/>
        <v>0</v>
      </c>
      <c r="X11" s="341"/>
      <c r="AA11" s="395" t="s">
        <v>411</v>
      </c>
    </row>
    <row r="12" spans="1:27" ht="15.75" customHeight="1" outlineLevel="1">
      <c r="A12" s="326"/>
      <c r="B12" s="327" t="s">
        <v>566</v>
      </c>
      <c r="C12" s="95">
        <v>0</v>
      </c>
      <c r="D12" s="95"/>
      <c r="E12" s="57" t="str">
        <f t="shared" si="0"/>
        <v/>
      </c>
      <c r="F12" s="96">
        <f t="shared" si="1"/>
        <v>0</v>
      </c>
      <c r="G12" s="95">
        <v>0</v>
      </c>
      <c r="H12" s="95">
        <f t="shared" si="2"/>
        <v>0</v>
      </c>
      <c r="I12" s="57" t="str">
        <f t="shared" si="3"/>
        <v/>
      </c>
      <c r="J12" s="96">
        <f t="shared" si="4"/>
        <v>0</v>
      </c>
      <c r="K12" s="95">
        <v>0</v>
      </c>
      <c r="L12" s="95"/>
      <c r="M12" s="57" t="str">
        <f t="shared" si="5"/>
        <v/>
      </c>
      <c r="N12" s="96">
        <f t="shared" si="6"/>
        <v>0</v>
      </c>
      <c r="O12" s="95">
        <v>0</v>
      </c>
      <c r="P12" s="95"/>
      <c r="Q12" s="57" t="str">
        <f t="shared" si="7"/>
        <v/>
      </c>
      <c r="R12" s="96">
        <f t="shared" si="8"/>
        <v>0</v>
      </c>
      <c r="S12" s="100">
        <f t="shared" si="9"/>
        <v>0</v>
      </c>
      <c r="T12" s="95">
        <v>0</v>
      </c>
      <c r="U12" s="57" t="str">
        <f t="shared" si="10"/>
        <v/>
      </c>
      <c r="V12" s="96">
        <f t="shared" si="11"/>
        <v>0</v>
      </c>
      <c r="X12" s="341"/>
      <c r="AA12" s="395" t="s">
        <v>415</v>
      </c>
    </row>
    <row r="13" spans="1:27" ht="15.75" customHeight="1" outlineLevel="1">
      <c r="A13" s="326"/>
      <c r="B13" s="327" t="s">
        <v>567</v>
      </c>
      <c r="C13" s="95">
        <v>-5579</v>
      </c>
      <c r="D13" s="95">
        <v>592</v>
      </c>
      <c r="E13" s="57">
        <f t="shared" si="0"/>
        <v>-1.106112206488618</v>
      </c>
      <c r="F13" s="96">
        <f t="shared" si="1"/>
        <v>6171</v>
      </c>
      <c r="G13" s="95">
        <v>-3500</v>
      </c>
      <c r="H13" s="95">
        <f t="shared" si="2"/>
        <v>256</v>
      </c>
      <c r="I13" s="57">
        <f t="shared" si="3"/>
        <v>-1.0731428571428572</v>
      </c>
      <c r="J13" s="96">
        <f t="shared" si="4"/>
        <v>3756</v>
      </c>
      <c r="K13" s="95">
        <v>69</v>
      </c>
      <c r="L13" s="95"/>
      <c r="M13" s="57">
        <f t="shared" si="5"/>
        <v>-1</v>
      </c>
      <c r="N13" s="96">
        <f t="shared" si="6"/>
        <v>-69</v>
      </c>
      <c r="O13" s="95">
        <v>1182</v>
      </c>
      <c r="P13" s="95"/>
      <c r="Q13" s="57">
        <f t="shared" si="7"/>
        <v>-1</v>
      </c>
      <c r="R13" s="96">
        <f t="shared" si="8"/>
        <v>-1182</v>
      </c>
      <c r="S13" s="100">
        <f t="shared" si="9"/>
        <v>-9079</v>
      </c>
      <c r="T13" s="95">
        <v>848</v>
      </c>
      <c r="U13" s="57">
        <f t="shared" si="10"/>
        <v>-1.0934023570877849</v>
      </c>
      <c r="V13" s="96">
        <f t="shared" si="11"/>
        <v>9927</v>
      </c>
      <c r="X13" s="341"/>
      <c r="AA13" s="395" t="s">
        <v>44</v>
      </c>
    </row>
    <row r="14" spans="1:27" ht="15.75" customHeight="1" outlineLevel="1">
      <c r="A14" s="326"/>
      <c r="B14" s="327" t="s">
        <v>568</v>
      </c>
      <c r="C14" s="95">
        <v>1</v>
      </c>
      <c r="D14" s="95">
        <v>-115</v>
      </c>
      <c r="E14" s="57">
        <f t="shared" si="0"/>
        <v>-116</v>
      </c>
      <c r="F14" s="96">
        <f t="shared" si="1"/>
        <v>-116</v>
      </c>
      <c r="G14" s="95">
        <v>-43</v>
      </c>
      <c r="H14" s="95">
        <f t="shared" si="2"/>
        <v>224</v>
      </c>
      <c r="I14" s="57">
        <f t="shared" si="3"/>
        <v>-6.2093023255813957</v>
      </c>
      <c r="J14" s="96">
        <f t="shared" si="4"/>
        <v>267</v>
      </c>
      <c r="K14" s="95">
        <v>-319</v>
      </c>
      <c r="L14" s="95"/>
      <c r="M14" s="57">
        <f t="shared" si="5"/>
        <v>-1</v>
      </c>
      <c r="N14" s="96">
        <f t="shared" si="6"/>
        <v>319</v>
      </c>
      <c r="O14" s="95">
        <v>381</v>
      </c>
      <c r="P14" s="95"/>
      <c r="Q14" s="57">
        <f t="shared" si="7"/>
        <v>-1</v>
      </c>
      <c r="R14" s="96">
        <f t="shared" si="8"/>
        <v>-381</v>
      </c>
      <c r="S14" s="100">
        <f t="shared" si="9"/>
        <v>-42</v>
      </c>
      <c r="T14" s="95">
        <v>109</v>
      </c>
      <c r="U14" s="57">
        <f t="shared" si="10"/>
        <v>-3.5952380952380953</v>
      </c>
      <c r="V14" s="96">
        <f t="shared" si="11"/>
        <v>151</v>
      </c>
      <c r="X14" s="341"/>
      <c r="AA14" s="395" t="s">
        <v>13</v>
      </c>
    </row>
    <row r="15" spans="1:27" ht="15.75" customHeight="1" outlineLevel="1">
      <c r="A15" s="326"/>
      <c r="B15" s="327" t="s">
        <v>569</v>
      </c>
      <c r="C15" s="95">
        <v>0</v>
      </c>
      <c r="D15" s="95"/>
      <c r="E15" s="57" t="str">
        <f t="shared" si="0"/>
        <v/>
      </c>
      <c r="F15" s="96">
        <f t="shared" si="1"/>
        <v>0</v>
      </c>
      <c r="G15" s="95">
        <v>0</v>
      </c>
      <c r="H15" s="95">
        <f t="shared" si="2"/>
        <v>0</v>
      </c>
      <c r="I15" s="57" t="str">
        <f t="shared" si="3"/>
        <v/>
      </c>
      <c r="J15" s="96">
        <f t="shared" si="4"/>
        <v>0</v>
      </c>
      <c r="K15" s="95">
        <v>0</v>
      </c>
      <c r="L15" s="95"/>
      <c r="M15" s="57" t="str">
        <f t="shared" si="5"/>
        <v/>
      </c>
      <c r="N15" s="96">
        <f t="shared" si="6"/>
        <v>0</v>
      </c>
      <c r="O15" s="95">
        <v>0</v>
      </c>
      <c r="P15" s="95"/>
      <c r="Q15" s="57" t="str">
        <f t="shared" si="7"/>
        <v/>
      </c>
      <c r="R15" s="96">
        <f t="shared" si="8"/>
        <v>0</v>
      </c>
      <c r="S15" s="100">
        <f t="shared" si="9"/>
        <v>0</v>
      </c>
      <c r="T15" s="95">
        <v>0</v>
      </c>
      <c r="U15" s="57" t="str">
        <f t="shared" si="10"/>
        <v/>
      </c>
      <c r="V15" s="96">
        <f t="shared" si="11"/>
        <v>0</v>
      </c>
      <c r="X15" s="341"/>
      <c r="AA15" s="395" t="s">
        <v>457</v>
      </c>
    </row>
    <row r="16" spans="1:27" ht="15.75" customHeight="1" outlineLevel="1">
      <c r="A16" s="326"/>
      <c r="B16" s="327" t="s">
        <v>570</v>
      </c>
      <c r="C16" s="95">
        <v>0</v>
      </c>
      <c r="D16" s="95"/>
      <c r="E16" s="57" t="str">
        <f t="shared" si="0"/>
        <v/>
      </c>
      <c r="F16" s="96">
        <f t="shared" si="1"/>
        <v>0</v>
      </c>
      <c r="G16" s="95">
        <v>0</v>
      </c>
      <c r="H16" s="95">
        <f t="shared" si="2"/>
        <v>0</v>
      </c>
      <c r="I16" s="57" t="str">
        <f t="shared" si="3"/>
        <v/>
      </c>
      <c r="J16" s="96">
        <f t="shared" si="4"/>
        <v>0</v>
      </c>
      <c r="K16" s="95">
        <v>0</v>
      </c>
      <c r="L16" s="95"/>
      <c r="M16" s="57" t="str">
        <f t="shared" si="5"/>
        <v/>
      </c>
      <c r="N16" s="96">
        <f t="shared" si="6"/>
        <v>0</v>
      </c>
      <c r="O16" s="95">
        <v>0</v>
      </c>
      <c r="P16" s="95"/>
      <c r="Q16" s="57" t="str">
        <f t="shared" si="7"/>
        <v/>
      </c>
      <c r="R16" s="96">
        <f t="shared" si="8"/>
        <v>0</v>
      </c>
      <c r="S16" s="100">
        <f t="shared" si="9"/>
        <v>0</v>
      </c>
      <c r="T16" s="95">
        <v>0</v>
      </c>
      <c r="U16" s="57" t="str">
        <f t="shared" si="10"/>
        <v/>
      </c>
      <c r="V16" s="96">
        <f t="shared" si="11"/>
        <v>0</v>
      </c>
      <c r="X16" s="341"/>
      <c r="AA16" s="395" t="s">
        <v>414</v>
      </c>
    </row>
    <row r="17" spans="1:27" ht="15.75" customHeight="1" outlineLevel="1">
      <c r="A17" s="326"/>
      <c r="B17" s="327" t="s">
        <v>571</v>
      </c>
      <c r="C17" s="95">
        <v>3483</v>
      </c>
      <c r="D17" s="95">
        <v>3253</v>
      </c>
      <c r="E17" s="57">
        <f t="shared" si="0"/>
        <v>-6.6035027275337388E-2</v>
      </c>
      <c r="F17" s="96">
        <f t="shared" si="1"/>
        <v>-230</v>
      </c>
      <c r="G17" s="95">
        <v>2826</v>
      </c>
      <c r="H17" s="95">
        <f t="shared" si="2"/>
        <v>3258</v>
      </c>
      <c r="I17" s="57">
        <f t="shared" si="3"/>
        <v>0.15286624203821653</v>
      </c>
      <c r="J17" s="96">
        <f t="shared" si="4"/>
        <v>432</v>
      </c>
      <c r="K17" s="95">
        <v>3554</v>
      </c>
      <c r="L17" s="95"/>
      <c r="M17" s="57">
        <f t="shared" si="5"/>
        <v>-1</v>
      </c>
      <c r="N17" s="96">
        <f t="shared" si="6"/>
        <v>-3554</v>
      </c>
      <c r="O17" s="95">
        <v>2472</v>
      </c>
      <c r="P17" s="95"/>
      <c r="Q17" s="57">
        <f t="shared" si="7"/>
        <v>-1</v>
      </c>
      <c r="R17" s="96">
        <f t="shared" si="8"/>
        <v>-2472</v>
      </c>
      <c r="S17" s="100">
        <f t="shared" si="9"/>
        <v>6309</v>
      </c>
      <c r="T17" s="95">
        <v>6511</v>
      </c>
      <c r="U17" s="57">
        <f t="shared" si="10"/>
        <v>3.2017752417181855E-2</v>
      </c>
      <c r="V17" s="96">
        <f t="shared" si="11"/>
        <v>202</v>
      </c>
      <c r="X17" s="341"/>
      <c r="AA17" s="395" t="s">
        <v>14</v>
      </c>
    </row>
    <row r="18" spans="1:27" ht="15.75" customHeight="1" outlineLevel="1">
      <c r="A18" s="328"/>
      <c r="B18" s="327" t="s">
        <v>572</v>
      </c>
      <c r="C18" s="95">
        <v>113</v>
      </c>
      <c r="D18" s="95">
        <v>-2689</v>
      </c>
      <c r="E18" s="57">
        <f t="shared" si="0"/>
        <v>-24.79646017699115</v>
      </c>
      <c r="F18" s="96">
        <f t="shared" si="1"/>
        <v>-2802</v>
      </c>
      <c r="G18" s="95">
        <v>102</v>
      </c>
      <c r="H18" s="95">
        <f t="shared" si="2"/>
        <v>-230</v>
      </c>
      <c r="I18" s="57">
        <f t="shared" si="3"/>
        <v>-3.2549019607843137</v>
      </c>
      <c r="J18" s="96">
        <f t="shared" si="4"/>
        <v>-332</v>
      </c>
      <c r="K18" s="95">
        <v>286</v>
      </c>
      <c r="L18" s="95"/>
      <c r="M18" s="57">
        <f t="shared" si="5"/>
        <v>-1</v>
      </c>
      <c r="N18" s="96">
        <f t="shared" si="6"/>
        <v>-286</v>
      </c>
      <c r="O18" s="95">
        <v>4381</v>
      </c>
      <c r="P18" s="95"/>
      <c r="Q18" s="57">
        <f t="shared" si="7"/>
        <v>-1</v>
      </c>
      <c r="R18" s="96">
        <f t="shared" si="8"/>
        <v>-4381</v>
      </c>
      <c r="S18" s="100">
        <f t="shared" si="9"/>
        <v>215</v>
      </c>
      <c r="T18" s="95">
        <v>-2919</v>
      </c>
      <c r="U18" s="57">
        <f t="shared" si="10"/>
        <v>-14.576744186046511</v>
      </c>
      <c r="V18" s="96">
        <f t="shared" si="11"/>
        <v>-3134</v>
      </c>
      <c r="X18" s="341"/>
      <c r="AA18" s="395" t="s">
        <v>413</v>
      </c>
    </row>
    <row r="19" spans="1:27" ht="15.75" customHeight="1" outlineLevel="1">
      <c r="A19" s="328"/>
      <c r="B19" s="327" t="s">
        <v>517</v>
      </c>
      <c r="C19" s="95">
        <v>-1121</v>
      </c>
      <c r="D19" s="95">
        <v>9844</v>
      </c>
      <c r="E19" s="57">
        <f t="shared" si="0"/>
        <v>-9.7814451382694028</v>
      </c>
      <c r="F19" s="96">
        <f t="shared" si="1"/>
        <v>10965</v>
      </c>
      <c r="G19" s="95">
        <v>-3232</v>
      </c>
      <c r="H19" s="95">
        <f t="shared" si="2"/>
        <v>3380</v>
      </c>
      <c r="I19" s="57">
        <f t="shared" si="3"/>
        <v>-2.0457920792079207</v>
      </c>
      <c r="J19" s="96">
        <f t="shared" si="4"/>
        <v>6612</v>
      </c>
      <c r="K19" s="95">
        <v>3665</v>
      </c>
      <c r="L19" s="95"/>
      <c r="M19" s="57">
        <f t="shared" si="5"/>
        <v>-1</v>
      </c>
      <c r="N19" s="96">
        <f t="shared" si="6"/>
        <v>-3665</v>
      </c>
      <c r="O19" s="95">
        <v>-8179</v>
      </c>
      <c r="P19" s="95"/>
      <c r="Q19" s="57">
        <f t="shared" si="7"/>
        <v>-1</v>
      </c>
      <c r="R19" s="96">
        <f t="shared" si="8"/>
        <v>8179</v>
      </c>
      <c r="S19" s="100">
        <f t="shared" si="9"/>
        <v>-4353</v>
      </c>
      <c r="T19" s="95">
        <v>13224</v>
      </c>
      <c r="U19" s="57">
        <f t="shared" si="10"/>
        <v>-4.0379048931771191</v>
      </c>
      <c r="V19" s="96">
        <f t="shared" si="11"/>
        <v>17577</v>
      </c>
      <c r="X19" s="341"/>
      <c r="AA19" s="395" t="s">
        <v>407</v>
      </c>
    </row>
    <row r="20" spans="1:27" ht="15.75" customHeight="1" outlineLevel="1">
      <c r="A20" s="328"/>
      <c r="B20" s="329" t="s">
        <v>573</v>
      </c>
      <c r="C20" s="95">
        <v>996</v>
      </c>
      <c r="D20" s="95">
        <v>1155</v>
      </c>
      <c r="E20" s="57">
        <f t="shared" si="0"/>
        <v>0.15963855421686746</v>
      </c>
      <c r="F20" s="96">
        <f t="shared" si="1"/>
        <v>159</v>
      </c>
      <c r="G20" s="95">
        <v>859</v>
      </c>
      <c r="H20" s="95">
        <f t="shared" si="2"/>
        <v>1732</v>
      </c>
      <c r="I20" s="57">
        <f t="shared" si="3"/>
        <v>1.0162980209545984</v>
      </c>
      <c r="J20" s="96">
        <f t="shared" si="4"/>
        <v>873</v>
      </c>
      <c r="K20" s="95">
        <v>699</v>
      </c>
      <c r="L20" s="95"/>
      <c r="M20" s="57">
        <f t="shared" si="5"/>
        <v>-1</v>
      </c>
      <c r="N20" s="96">
        <f t="shared" si="6"/>
        <v>-699</v>
      </c>
      <c r="O20" s="95">
        <v>687</v>
      </c>
      <c r="P20" s="95"/>
      <c r="Q20" s="57">
        <f t="shared" si="7"/>
        <v>-1</v>
      </c>
      <c r="R20" s="96">
        <f t="shared" si="8"/>
        <v>-687</v>
      </c>
      <c r="S20" s="100">
        <f t="shared" si="9"/>
        <v>1855</v>
      </c>
      <c r="T20" s="95">
        <v>2887</v>
      </c>
      <c r="U20" s="57">
        <f t="shared" si="10"/>
        <v>0.55633423180592989</v>
      </c>
      <c r="V20" s="96">
        <f t="shared" si="11"/>
        <v>1032</v>
      </c>
      <c r="X20" s="341"/>
      <c r="AA20" s="395" t="s">
        <v>15</v>
      </c>
    </row>
    <row r="21" spans="1:27" ht="15.75" customHeight="1" outlineLevel="1">
      <c r="A21" s="328"/>
      <c r="B21" s="329" t="s">
        <v>574</v>
      </c>
      <c r="C21" s="95">
        <v>0</v>
      </c>
      <c r="D21" s="95">
        <v>0</v>
      </c>
      <c r="E21" s="69" t="str">
        <f t="shared" si="0"/>
        <v/>
      </c>
      <c r="F21" s="96">
        <f t="shared" si="1"/>
        <v>0</v>
      </c>
      <c r="G21" s="95">
        <v>0</v>
      </c>
      <c r="H21" s="95">
        <f t="shared" si="2"/>
        <v>0</v>
      </c>
      <c r="I21" s="69" t="str">
        <f t="shared" si="3"/>
        <v/>
      </c>
      <c r="J21" s="96">
        <f t="shared" si="4"/>
        <v>0</v>
      </c>
      <c r="K21" s="95">
        <v>0</v>
      </c>
      <c r="L21" s="95"/>
      <c r="M21" s="69" t="str">
        <f t="shared" si="5"/>
        <v/>
      </c>
      <c r="N21" s="96">
        <f t="shared" si="6"/>
        <v>0</v>
      </c>
      <c r="O21" s="95">
        <v>0</v>
      </c>
      <c r="P21" s="95"/>
      <c r="Q21" s="69" t="str">
        <f t="shared" si="7"/>
        <v/>
      </c>
      <c r="R21" s="96">
        <f t="shared" si="8"/>
        <v>0</v>
      </c>
      <c r="S21" s="95">
        <f t="shared" si="9"/>
        <v>0</v>
      </c>
      <c r="T21" s="95">
        <v>0</v>
      </c>
      <c r="U21" s="69" t="str">
        <f t="shared" si="10"/>
        <v/>
      </c>
      <c r="V21" s="96">
        <f t="shared" si="11"/>
        <v>0</v>
      </c>
      <c r="X21" s="341"/>
      <c r="AA21" s="395" t="s">
        <v>463</v>
      </c>
    </row>
    <row r="22" spans="1:27" ht="15.75" customHeight="1" outlineLevel="1">
      <c r="A22" s="328"/>
      <c r="B22" s="329" t="s">
        <v>575</v>
      </c>
      <c r="C22" s="95">
        <v>-82</v>
      </c>
      <c r="D22" s="95">
        <v>153</v>
      </c>
      <c r="E22" s="69">
        <f t="shared" si="0"/>
        <v>-2.8658536585365857</v>
      </c>
      <c r="F22" s="96">
        <f t="shared" si="1"/>
        <v>235</v>
      </c>
      <c r="G22" s="95">
        <v>-380</v>
      </c>
      <c r="H22" s="95">
        <f t="shared" si="2"/>
        <v>483</v>
      </c>
      <c r="I22" s="69">
        <f t="shared" si="3"/>
        <v>-2.2710526315789474</v>
      </c>
      <c r="J22" s="96">
        <f t="shared" si="4"/>
        <v>863</v>
      </c>
      <c r="K22" s="95">
        <v>65</v>
      </c>
      <c r="L22" s="95"/>
      <c r="M22" s="69">
        <f t="shared" si="5"/>
        <v>-1</v>
      </c>
      <c r="N22" s="96">
        <f t="shared" si="6"/>
        <v>-65</v>
      </c>
      <c r="O22" s="95">
        <v>-753</v>
      </c>
      <c r="P22" s="95"/>
      <c r="Q22" s="69">
        <f t="shared" si="7"/>
        <v>-1</v>
      </c>
      <c r="R22" s="96">
        <f t="shared" si="8"/>
        <v>753</v>
      </c>
      <c r="S22" s="95">
        <f t="shared" si="9"/>
        <v>-462</v>
      </c>
      <c r="T22" s="95">
        <v>636</v>
      </c>
      <c r="U22" s="69">
        <f t="shared" si="10"/>
        <v>-2.3766233766233764</v>
      </c>
      <c r="V22" s="96">
        <f t="shared" si="11"/>
        <v>1098</v>
      </c>
      <c r="W22" s="341"/>
      <c r="X22" s="341"/>
      <c r="Y22" s="341"/>
      <c r="AA22" s="395" t="s">
        <v>16</v>
      </c>
    </row>
    <row r="23" spans="1:27" ht="15.75" customHeight="1" outlineLevel="1">
      <c r="A23" s="332"/>
      <c r="B23" s="333"/>
      <c r="C23" s="18">
        <v>9728</v>
      </c>
      <c r="D23" s="18">
        <f>SUM(D4:D22)</f>
        <v>21670</v>
      </c>
      <c r="E23" s="71">
        <f t="shared" si="0"/>
        <v>1.2275904605263159</v>
      </c>
      <c r="F23" s="97">
        <f t="shared" si="1"/>
        <v>11942</v>
      </c>
      <c r="G23" s="18">
        <v>24599</v>
      </c>
      <c r="H23" s="18">
        <f>SUM(H4:H22)</f>
        <v>36709</v>
      </c>
      <c r="I23" s="71">
        <f t="shared" si="3"/>
        <v>0.49229643481442342</v>
      </c>
      <c r="J23" s="97">
        <f t="shared" si="4"/>
        <v>12110</v>
      </c>
      <c r="K23" s="18">
        <v>26310</v>
      </c>
      <c r="L23" s="18"/>
      <c r="M23" s="71">
        <f t="shared" si="5"/>
        <v>-1</v>
      </c>
      <c r="N23" s="97">
        <f t="shared" si="6"/>
        <v>-26310</v>
      </c>
      <c r="O23" s="18">
        <v>39029</v>
      </c>
      <c r="P23" s="18"/>
      <c r="Q23" s="71">
        <f t="shared" si="7"/>
        <v>-1</v>
      </c>
      <c r="R23" s="97">
        <f t="shared" si="8"/>
        <v>-39029</v>
      </c>
      <c r="S23" s="18">
        <f>SUM(S4:S22)</f>
        <v>34327</v>
      </c>
      <c r="T23" s="18">
        <f>SUM(T4:T22)</f>
        <v>58379</v>
      </c>
      <c r="U23" s="71">
        <f t="shared" si="10"/>
        <v>0.70067293966848254</v>
      </c>
      <c r="V23" s="97">
        <f t="shared" si="11"/>
        <v>24052</v>
      </c>
      <c r="X23" s="341"/>
    </row>
    <row r="24" spans="1:27" ht="20.25" customHeight="1">
      <c r="A24" s="325" t="s">
        <v>576</v>
      </c>
      <c r="C24" s="15"/>
      <c r="D24" s="45"/>
      <c r="E24" s="57"/>
      <c r="F24" s="58"/>
      <c r="G24" s="45">
        <v>0</v>
      </c>
      <c r="H24" s="45"/>
      <c r="I24" s="57"/>
      <c r="J24" s="58"/>
      <c r="K24" s="45">
        <v>0</v>
      </c>
      <c r="L24" s="45"/>
      <c r="M24" s="57"/>
      <c r="N24" s="58"/>
      <c r="P24" s="45"/>
      <c r="Q24" s="57"/>
      <c r="R24" s="58"/>
      <c r="S24" s="45"/>
      <c r="T24" s="24"/>
      <c r="U24" s="57"/>
      <c r="V24" s="58"/>
      <c r="X24" s="341"/>
    </row>
    <row r="25" spans="1:27" ht="15.75" customHeight="1" outlineLevel="1">
      <c r="A25" s="325"/>
      <c r="B25" s="327" t="s">
        <v>577</v>
      </c>
      <c r="C25" s="15"/>
      <c r="D25" s="95"/>
      <c r="E25" s="57" t="str">
        <f t="shared" ref="E25:E36" si="12">IFERROR(D25/C25-1,"")</f>
        <v/>
      </c>
      <c r="F25" s="58">
        <f t="shared" ref="F25:F36" si="13">D25-C25</f>
        <v>0</v>
      </c>
      <c r="G25" s="95">
        <v>0</v>
      </c>
      <c r="H25" s="95">
        <f t="shared" ref="H25:H35" si="14">T25-D25</f>
        <v>0</v>
      </c>
      <c r="I25" s="57" t="str">
        <f t="shared" ref="I25:I36" si="15">IFERROR(H25/G25-1,"")</f>
        <v/>
      </c>
      <c r="J25" s="58">
        <f t="shared" ref="J25:J36" si="16">H25-G25</f>
        <v>0</v>
      </c>
      <c r="K25" s="95">
        <v>0</v>
      </c>
      <c r="L25" s="95"/>
      <c r="M25" s="57" t="str">
        <f t="shared" ref="M25:M36" si="17">IFERROR(L25/K25-1,"")</f>
        <v/>
      </c>
      <c r="N25" s="58">
        <f t="shared" ref="N25:N36" si="18">L25-K25</f>
        <v>0</v>
      </c>
      <c r="O25" s="95">
        <v>0</v>
      </c>
      <c r="P25" s="95"/>
      <c r="Q25" s="57" t="str">
        <f t="shared" ref="Q25:Q36" si="19">IFERROR(P25/O25-1,"")</f>
        <v/>
      </c>
      <c r="R25" s="58">
        <f t="shared" ref="R25:R36" si="20">P25-O25</f>
        <v>0</v>
      </c>
      <c r="S25" s="95">
        <f t="shared" ref="S25:S35" si="21">C25+G25</f>
        <v>0</v>
      </c>
      <c r="T25" s="15"/>
      <c r="U25" s="57" t="str">
        <f t="shared" ref="U25:U36" si="22">IFERROR(T25/S25-1,"")</f>
        <v/>
      </c>
      <c r="V25" s="58">
        <f t="shared" ref="V25:V36" si="23">T25-S25</f>
        <v>0</v>
      </c>
      <c r="W25" s="103"/>
      <c r="X25" s="341"/>
      <c r="AA25" s="395" t="s">
        <v>463</v>
      </c>
    </row>
    <row r="26" spans="1:27" ht="15.75" customHeight="1" outlineLevel="1">
      <c r="A26" s="326"/>
      <c r="B26" s="327" t="s">
        <v>578</v>
      </c>
      <c r="C26" s="95">
        <v>15538</v>
      </c>
      <c r="D26" s="95">
        <v>13298</v>
      </c>
      <c r="E26" s="57">
        <f t="shared" si="12"/>
        <v>-0.14416269790191782</v>
      </c>
      <c r="F26" s="96">
        <f t="shared" si="13"/>
        <v>-2240</v>
      </c>
      <c r="G26" s="95">
        <v>-17592</v>
      </c>
      <c r="H26" s="95">
        <f t="shared" si="14"/>
        <v>-18339</v>
      </c>
      <c r="I26" s="57">
        <f t="shared" si="15"/>
        <v>4.2462482946793889E-2</v>
      </c>
      <c r="J26" s="96">
        <f t="shared" si="16"/>
        <v>-747</v>
      </c>
      <c r="K26" s="95">
        <v>2106</v>
      </c>
      <c r="L26" s="95"/>
      <c r="M26" s="57">
        <f t="shared" si="17"/>
        <v>-1</v>
      </c>
      <c r="N26" s="96">
        <f t="shared" si="18"/>
        <v>-2106</v>
      </c>
      <c r="O26" s="95">
        <v>-38734</v>
      </c>
      <c r="P26" s="95"/>
      <c r="Q26" s="57">
        <f t="shared" si="19"/>
        <v>-1</v>
      </c>
      <c r="R26" s="96">
        <f t="shared" si="20"/>
        <v>38734</v>
      </c>
      <c r="S26" s="95">
        <f t="shared" si="21"/>
        <v>-2054</v>
      </c>
      <c r="T26" s="95">
        <v>-5041</v>
      </c>
      <c r="U26" s="57">
        <f t="shared" si="22"/>
        <v>1.4542356377799415</v>
      </c>
      <c r="V26" s="96">
        <f t="shared" si="23"/>
        <v>-2987</v>
      </c>
      <c r="W26" s="297"/>
      <c r="X26" s="341"/>
      <c r="Y26"/>
      <c r="Z26" s="341"/>
      <c r="AA26" s="395" t="s">
        <v>348</v>
      </c>
    </row>
    <row r="27" spans="1:27" ht="15.75" customHeight="1" outlineLevel="1">
      <c r="A27" s="326"/>
      <c r="B27" s="327" t="s">
        <v>579</v>
      </c>
      <c r="C27" s="95">
        <v>-3423</v>
      </c>
      <c r="D27" s="95">
        <v>-19266</v>
      </c>
      <c r="E27" s="57">
        <f t="shared" si="12"/>
        <v>4.6283961437335668</v>
      </c>
      <c r="F27" s="96">
        <f t="shared" si="13"/>
        <v>-15843</v>
      </c>
      <c r="G27" s="95">
        <v>8028</v>
      </c>
      <c r="H27" s="95">
        <f t="shared" si="14"/>
        <v>-4047</v>
      </c>
      <c r="I27" s="57">
        <f t="shared" si="15"/>
        <v>-1.5041106128550075</v>
      </c>
      <c r="J27" s="96">
        <f t="shared" si="16"/>
        <v>-12075</v>
      </c>
      <c r="K27" s="95">
        <v>-33356</v>
      </c>
      <c r="L27" s="95"/>
      <c r="M27" s="57">
        <f t="shared" si="17"/>
        <v>-1</v>
      </c>
      <c r="N27" s="96">
        <f t="shared" si="18"/>
        <v>33356</v>
      </c>
      <c r="O27" s="95">
        <v>2590</v>
      </c>
      <c r="P27" s="95"/>
      <c r="Q27" s="57">
        <f t="shared" si="19"/>
        <v>-1</v>
      </c>
      <c r="R27" s="96">
        <f t="shared" si="20"/>
        <v>-2590</v>
      </c>
      <c r="S27" s="95">
        <f t="shared" si="21"/>
        <v>4605</v>
      </c>
      <c r="T27" s="95">
        <v>-23313</v>
      </c>
      <c r="U27" s="57">
        <f t="shared" si="22"/>
        <v>-6.0625407166123777</v>
      </c>
      <c r="V27" s="96">
        <f t="shared" si="23"/>
        <v>-27918</v>
      </c>
      <c r="W27"/>
      <c r="X27" s="341"/>
      <c r="Y27"/>
      <c r="AA27" s="395" t="s">
        <v>18</v>
      </c>
    </row>
    <row r="28" spans="1:27" ht="15.75" customHeight="1" outlineLevel="1">
      <c r="A28" s="326"/>
      <c r="B28" s="327" t="s">
        <v>580</v>
      </c>
      <c r="C28" s="95">
        <v>2599</v>
      </c>
      <c r="D28" s="95">
        <v>7837</v>
      </c>
      <c r="E28" s="57">
        <f t="shared" si="12"/>
        <v>2.0153905348210852</v>
      </c>
      <c r="F28" s="96">
        <f t="shared" si="13"/>
        <v>5238</v>
      </c>
      <c r="G28" s="100">
        <v>684</v>
      </c>
      <c r="H28" s="95">
        <f t="shared" si="14"/>
        <v>5490</v>
      </c>
      <c r="I28" s="57">
        <f t="shared" si="15"/>
        <v>7.026315789473685</v>
      </c>
      <c r="J28" s="96">
        <f t="shared" si="16"/>
        <v>4806</v>
      </c>
      <c r="K28" s="100">
        <v>1918</v>
      </c>
      <c r="L28" s="95"/>
      <c r="M28" s="57">
        <f t="shared" si="17"/>
        <v>-1</v>
      </c>
      <c r="N28" s="96">
        <f t="shared" si="18"/>
        <v>-1918</v>
      </c>
      <c r="O28" s="95">
        <v>-5201</v>
      </c>
      <c r="P28" s="95"/>
      <c r="Q28" s="57">
        <f t="shared" si="19"/>
        <v>-1</v>
      </c>
      <c r="R28" s="96">
        <f t="shared" si="20"/>
        <v>5201</v>
      </c>
      <c r="S28" s="95">
        <f t="shared" si="21"/>
        <v>3283</v>
      </c>
      <c r="T28" s="95">
        <v>13327</v>
      </c>
      <c r="U28" s="57">
        <f t="shared" si="22"/>
        <v>3.0593968930855926</v>
      </c>
      <c r="V28" s="96">
        <f t="shared" si="23"/>
        <v>10044</v>
      </c>
      <c r="W28"/>
      <c r="X28" s="341"/>
      <c r="Y28"/>
      <c r="AA28" s="395" t="s">
        <v>19</v>
      </c>
    </row>
    <row r="29" spans="1:27" ht="15.75" customHeight="1" outlineLevel="1">
      <c r="A29" s="326"/>
      <c r="B29" s="327" t="s">
        <v>581</v>
      </c>
      <c r="C29" s="95">
        <v>-1608</v>
      </c>
      <c r="D29" s="95">
        <v>-400</v>
      </c>
      <c r="E29" s="57">
        <f t="shared" si="12"/>
        <v>-0.75124378109452739</v>
      </c>
      <c r="F29" s="96">
        <f t="shared" si="13"/>
        <v>1208</v>
      </c>
      <c r="G29" s="95">
        <v>-1035</v>
      </c>
      <c r="H29" s="95">
        <f t="shared" si="14"/>
        <v>-1864</v>
      </c>
      <c r="I29" s="57">
        <f t="shared" si="15"/>
        <v>0.80096618357487914</v>
      </c>
      <c r="J29" s="96">
        <f t="shared" si="16"/>
        <v>-829</v>
      </c>
      <c r="K29" s="95">
        <v>-175</v>
      </c>
      <c r="L29" s="95"/>
      <c r="M29" s="57">
        <f t="shared" si="17"/>
        <v>-1</v>
      </c>
      <c r="N29" s="96">
        <f t="shared" si="18"/>
        <v>175</v>
      </c>
      <c r="O29" s="95">
        <v>1462</v>
      </c>
      <c r="P29" s="95"/>
      <c r="Q29" s="57">
        <f t="shared" si="19"/>
        <v>-1</v>
      </c>
      <c r="R29" s="96">
        <f t="shared" si="20"/>
        <v>-1462</v>
      </c>
      <c r="S29" s="95">
        <f t="shared" si="21"/>
        <v>-2643</v>
      </c>
      <c r="T29" s="95">
        <v>-2264</v>
      </c>
      <c r="U29" s="57">
        <f t="shared" si="22"/>
        <v>-0.14339765418085504</v>
      </c>
      <c r="V29" s="96">
        <f t="shared" si="23"/>
        <v>379</v>
      </c>
      <c r="W29"/>
      <c r="X29" s="341"/>
      <c r="Y29"/>
      <c r="AA29" s="395" t="s">
        <v>52</v>
      </c>
    </row>
    <row r="30" spans="1:27" ht="15.75" customHeight="1" outlineLevel="1">
      <c r="A30" s="326"/>
      <c r="B30" s="327" t="s">
        <v>582</v>
      </c>
      <c r="C30" s="95">
        <v>-3939</v>
      </c>
      <c r="D30" s="95">
        <v>-11995</v>
      </c>
      <c r="E30" s="57">
        <f t="shared" si="12"/>
        <v>2.0451891342980453</v>
      </c>
      <c r="F30" s="96">
        <f t="shared" si="13"/>
        <v>-8056</v>
      </c>
      <c r="G30" s="95">
        <v>-5319</v>
      </c>
      <c r="H30" s="95">
        <f t="shared" si="14"/>
        <v>-7356</v>
      </c>
      <c r="I30" s="57">
        <f t="shared" si="15"/>
        <v>0.38296672306824586</v>
      </c>
      <c r="J30" s="96">
        <f t="shared" si="16"/>
        <v>-2037</v>
      </c>
      <c r="K30" s="95">
        <v>30982</v>
      </c>
      <c r="L30" s="95"/>
      <c r="M30" s="57">
        <f t="shared" si="17"/>
        <v>-1</v>
      </c>
      <c r="N30" s="96">
        <f t="shared" si="18"/>
        <v>-30982</v>
      </c>
      <c r="O30" s="95">
        <v>8736</v>
      </c>
      <c r="P30" s="95"/>
      <c r="Q30" s="57">
        <f t="shared" si="19"/>
        <v>-1</v>
      </c>
      <c r="R30" s="96">
        <f t="shared" si="20"/>
        <v>-8736</v>
      </c>
      <c r="S30" s="95">
        <f t="shared" si="21"/>
        <v>-9258</v>
      </c>
      <c r="T30" s="95">
        <v>-19351</v>
      </c>
      <c r="U30" s="57">
        <f t="shared" si="22"/>
        <v>1.090192266148196</v>
      </c>
      <c r="V30" s="96">
        <f t="shared" si="23"/>
        <v>-10093</v>
      </c>
      <c r="W30"/>
      <c r="X30" s="341"/>
      <c r="Y30" s="393"/>
      <c r="AA30" s="395" t="s">
        <v>20</v>
      </c>
    </row>
    <row r="31" spans="1:27" ht="15.75" customHeight="1" outlineLevel="1">
      <c r="A31" s="326"/>
      <c r="B31" s="327" t="s">
        <v>583</v>
      </c>
      <c r="C31" s="95">
        <v>-2739</v>
      </c>
      <c r="D31" s="95">
        <v>-4482</v>
      </c>
      <c r="E31" s="57">
        <f t="shared" si="12"/>
        <v>0.63636363636363646</v>
      </c>
      <c r="F31" s="96">
        <f t="shared" si="13"/>
        <v>-1743</v>
      </c>
      <c r="G31" s="95">
        <v>2464</v>
      </c>
      <c r="H31" s="95">
        <f t="shared" si="14"/>
        <v>4178</v>
      </c>
      <c r="I31" s="57">
        <f t="shared" si="15"/>
        <v>0.69561688311688319</v>
      </c>
      <c r="J31" s="96">
        <f t="shared" si="16"/>
        <v>1714</v>
      </c>
      <c r="K31" s="95">
        <v>2531</v>
      </c>
      <c r="L31" s="95"/>
      <c r="M31" s="57">
        <f t="shared" si="17"/>
        <v>-1</v>
      </c>
      <c r="N31" s="96">
        <f t="shared" si="18"/>
        <v>-2531</v>
      </c>
      <c r="O31" s="95">
        <v>79</v>
      </c>
      <c r="P31" s="95"/>
      <c r="Q31" s="57">
        <f t="shared" si="19"/>
        <v>-1</v>
      </c>
      <c r="R31" s="96">
        <f t="shared" si="20"/>
        <v>-79</v>
      </c>
      <c r="S31" s="95">
        <f t="shared" si="21"/>
        <v>-275</v>
      </c>
      <c r="T31" s="95">
        <v>-304</v>
      </c>
      <c r="U31" s="57">
        <f t="shared" si="22"/>
        <v>0.10545454545454547</v>
      </c>
      <c r="V31" s="96">
        <f t="shared" si="23"/>
        <v>-29</v>
      </c>
      <c r="W31" s="308"/>
      <c r="X31" s="341"/>
      <c r="Y31" s="308"/>
      <c r="AA31" s="395" t="s">
        <v>354</v>
      </c>
    </row>
    <row r="32" spans="1:27" ht="15.75" customHeight="1" outlineLevel="1">
      <c r="A32" s="326"/>
      <c r="B32" s="327" t="s">
        <v>584</v>
      </c>
      <c r="C32" s="95">
        <v>-2981</v>
      </c>
      <c r="D32" s="95">
        <v>-6250</v>
      </c>
      <c r="E32" s="57">
        <f t="shared" si="12"/>
        <v>1.096611875209661</v>
      </c>
      <c r="F32" s="96">
        <f t="shared" si="13"/>
        <v>-3269</v>
      </c>
      <c r="G32" s="95">
        <v>-1963</v>
      </c>
      <c r="H32" s="95">
        <f t="shared" si="14"/>
        <v>-7341</v>
      </c>
      <c r="I32" s="57">
        <f t="shared" si="15"/>
        <v>2.7396841569026997</v>
      </c>
      <c r="J32" s="96">
        <f t="shared" si="16"/>
        <v>-5378</v>
      </c>
      <c r="K32" s="95">
        <v>-3085</v>
      </c>
      <c r="L32" s="95"/>
      <c r="M32" s="57">
        <f t="shared" si="17"/>
        <v>-1</v>
      </c>
      <c r="N32" s="96">
        <f t="shared" si="18"/>
        <v>3085</v>
      </c>
      <c r="O32" s="95">
        <v>12594</v>
      </c>
      <c r="P32" s="95"/>
      <c r="Q32" s="57">
        <f t="shared" si="19"/>
        <v>-1</v>
      </c>
      <c r="R32" s="96">
        <f t="shared" si="20"/>
        <v>-12594</v>
      </c>
      <c r="S32" s="95">
        <f t="shared" si="21"/>
        <v>-4944</v>
      </c>
      <c r="T32" s="95">
        <v>-13591</v>
      </c>
      <c r="U32" s="57">
        <f t="shared" si="22"/>
        <v>1.7489886731391584</v>
      </c>
      <c r="V32" s="96">
        <f t="shared" si="23"/>
        <v>-8647</v>
      </c>
      <c r="W32"/>
      <c r="X32" s="341"/>
      <c r="Y32"/>
      <c r="AA32" s="395" t="s">
        <v>21</v>
      </c>
    </row>
    <row r="33" spans="1:27" ht="15.75" customHeight="1" outlineLevel="1">
      <c r="A33" s="326"/>
      <c r="B33" s="327" t="s">
        <v>585</v>
      </c>
      <c r="C33" s="95">
        <v>-3397</v>
      </c>
      <c r="D33" s="95">
        <v>-2953</v>
      </c>
      <c r="E33" s="57">
        <f t="shared" si="12"/>
        <v>-0.13070356196644095</v>
      </c>
      <c r="F33" s="96">
        <f t="shared" si="13"/>
        <v>444</v>
      </c>
      <c r="G33" s="95">
        <v>-3176</v>
      </c>
      <c r="H33" s="95">
        <f t="shared" si="14"/>
        <v>-2789</v>
      </c>
      <c r="I33" s="57">
        <f t="shared" si="15"/>
        <v>-0.12185138539042817</v>
      </c>
      <c r="J33" s="96">
        <f t="shared" si="16"/>
        <v>387</v>
      </c>
      <c r="K33" s="95">
        <v>-3138</v>
      </c>
      <c r="L33" s="95"/>
      <c r="M33" s="57">
        <f t="shared" si="17"/>
        <v>-1</v>
      </c>
      <c r="N33" s="96">
        <f t="shared" si="18"/>
        <v>3138</v>
      </c>
      <c r="O33" s="95">
        <v>-3147</v>
      </c>
      <c r="P33" s="95"/>
      <c r="Q33" s="57">
        <f t="shared" si="19"/>
        <v>-1</v>
      </c>
      <c r="R33" s="96">
        <f t="shared" si="20"/>
        <v>3147</v>
      </c>
      <c r="S33" s="95">
        <f t="shared" si="21"/>
        <v>-6573</v>
      </c>
      <c r="T33" s="95">
        <v>-5742</v>
      </c>
      <c r="U33" s="57">
        <f t="shared" si="22"/>
        <v>-0.12642628936558653</v>
      </c>
      <c r="V33" s="96">
        <f t="shared" si="23"/>
        <v>831</v>
      </c>
      <c r="W33"/>
      <c r="X33" s="341"/>
      <c r="Y33"/>
      <c r="AA33" s="395" t="s">
        <v>22</v>
      </c>
    </row>
    <row r="34" spans="1:27" ht="15.75" customHeight="1" outlineLevel="1">
      <c r="A34" s="326"/>
      <c r="B34" s="327" t="s">
        <v>586</v>
      </c>
      <c r="C34" s="95">
        <v>-115</v>
      </c>
      <c r="D34" s="95">
        <v>-2818</v>
      </c>
      <c r="E34" s="57">
        <f t="shared" si="12"/>
        <v>23.504347826086956</v>
      </c>
      <c r="F34" s="96">
        <f t="shared" si="13"/>
        <v>-2703</v>
      </c>
      <c r="G34" s="95">
        <v>-1847</v>
      </c>
      <c r="H34" s="95">
        <f t="shared" si="14"/>
        <v>-6908</v>
      </c>
      <c r="I34" s="57">
        <f t="shared" si="15"/>
        <v>2.740119112073633</v>
      </c>
      <c r="J34" s="96">
        <f t="shared" si="16"/>
        <v>-5061</v>
      </c>
      <c r="K34" s="95">
        <v>0</v>
      </c>
      <c r="L34" s="95"/>
      <c r="M34" s="57" t="str">
        <f t="shared" si="17"/>
        <v/>
      </c>
      <c r="N34" s="96">
        <f t="shared" si="18"/>
        <v>0</v>
      </c>
      <c r="O34" s="95">
        <v>-7776</v>
      </c>
      <c r="P34" s="95"/>
      <c r="Q34" s="57">
        <f t="shared" si="19"/>
        <v>-1</v>
      </c>
      <c r="R34" s="96">
        <f t="shared" si="20"/>
        <v>7776</v>
      </c>
      <c r="S34" s="95">
        <f t="shared" si="21"/>
        <v>-1962</v>
      </c>
      <c r="T34" s="95">
        <v>-9726</v>
      </c>
      <c r="U34" s="57">
        <f t="shared" si="22"/>
        <v>3.957186544342508</v>
      </c>
      <c r="V34" s="96">
        <f t="shared" si="23"/>
        <v>-7764</v>
      </c>
      <c r="W34"/>
      <c r="X34" s="341"/>
      <c r="Y34"/>
      <c r="AA34" s="395" t="s">
        <v>23</v>
      </c>
    </row>
    <row r="35" spans="1:27" ht="15.75" customHeight="1">
      <c r="A35" s="328"/>
      <c r="B35" s="329" t="s">
        <v>575</v>
      </c>
      <c r="C35" s="14">
        <v>0</v>
      </c>
      <c r="D35" s="95">
        <v>0</v>
      </c>
      <c r="E35" s="69" t="str">
        <f t="shared" si="12"/>
        <v/>
      </c>
      <c r="F35" s="70">
        <f t="shared" si="13"/>
        <v>0</v>
      </c>
      <c r="G35" s="95">
        <v>0</v>
      </c>
      <c r="H35" s="95">
        <f t="shared" si="14"/>
        <v>0</v>
      </c>
      <c r="I35" s="69" t="str">
        <f t="shared" si="15"/>
        <v/>
      </c>
      <c r="J35" s="70">
        <f t="shared" si="16"/>
        <v>0</v>
      </c>
      <c r="K35" s="95">
        <v>0</v>
      </c>
      <c r="L35" s="95"/>
      <c r="M35" s="69" t="str">
        <f t="shared" si="17"/>
        <v/>
      </c>
      <c r="N35" s="70">
        <f t="shared" si="18"/>
        <v>0</v>
      </c>
      <c r="O35" s="95">
        <v>0</v>
      </c>
      <c r="P35" s="95"/>
      <c r="Q35" s="69" t="str">
        <f t="shared" si="19"/>
        <v/>
      </c>
      <c r="R35" s="70">
        <f t="shared" si="20"/>
        <v>0</v>
      </c>
      <c r="S35" s="95">
        <f t="shared" si="21"/>
        <v>0</v>
      </c>
      <c r="T35" s="95">
        <v>0</v>
      </c>
      <c r="U35" s="69" t="str">
        <f t="shared" si="22"/>
        <v/>
      </c>
      <c r="V35" s="70">
        <f t="shared" si="23"/>
        <v>0</v>
      </c>
      <c r="W35"/>
      <c r="X35" s="341"/>
      <c r="Y35"/>
      <c r="AA35" s="395" t="s">
        <v>463</v>
      </c>
    </row>
    <row r="36" spans="1:27" ht="15.75" customHeight="1" outlineLevel="1">
      <c r="A36" s="332" t="s">
        <v>587</v>
      </c>
      <c r="B36" s="333"/>
      <c r="C36" s="17">
        <v>9663</v>
      </c>
      <c r="D36" s="17">
        <f>SUM(D26:D35,D23)</f>
        <v>-5359</v>
      </c>
      <c r="E36" s="71">
        <f t="shared" si="12"/>
        <v>-1.5545896719445307</v>
      </c>
      <c r="F36" s="97">
        <f t="shared" si="13"/>
        <v>-15022</v>
      </c>
      <c r="G36" s="17">
        <v>4843</v>
      </c>
      <c r="H36" s="17">
        <f>SUM(H26:H35,H23)</f>
        <v>-2267</v>
      </c>
      <c r="I36" s="71">
        <f t="shared" si="15"/>
        <v>-1.4680982861862482</v>
      </c>
      <c r="J36" s="97">
        <f t="shared" si="16"/>
        <v>-7110</v>
      </c>
      <c r="K36" s="17">
        <v>24093</v>
      </c>
      <c r="L36" s="17"/>
      <c r="M36" s="71">
        <f t="shared" si="17"/>
        <v>-1</v>
      </c>
      <c r="N36" s="97">
        <f t="shared" si="18"/>
        <v>-24093</v>
      </c>
      <c r="O36" s="17">
        <v>9632</v>
      </c>
      <c r="P36" s="17"/>
      <c r="Q36" s="71">
        <f t="shared" si="19"/>
        <v>-1</v>
      </c>
      <c r="R36" s="97">
        <f t="shared" si="20"/>
        <v>-9632</v>
      </c>
      <c r="S36" s="17">
        <f>SUM(S23:S35)</f>
        <v>14506</v>
      </c>
      <c r="T36" s="17">
        <f>SUM(T23:T35)</f>
        <v>-7626</v>
      </c>
      <c r="U36" s="71">
        <f t="shared" si="22"/>
        <v>-1.5257134978629532</v>
      </c>
      <c r="V36" s="97">
        <f t="shared" si="23"/>
        <v>-22132</v>
      </c>
      <c r="W36"/>
      <c r="X36" s="341"/>
      <c r="Y36"/>
    </row>
    <row r="37" spans="1:27" ht="15.75" customHeight="1" outlineLevel="1">
      <c r="A37" s="326" t="s">
        <v>588</v>
      </c>
      <c r="B37" s="327"/>
      <c r="C37" s="13"/>
      <c r="D37" s="24"/>
      <c r="E37" s="57"/>
      <c r="F37" s="58"/>
      <c r="G37" s="24">
        <v>0</v>
      </c>
      <c r="H37" s="24"/>
      <c r="I37" s="57"/>
      <c r="J37" s="58"/>
      <c r="K37" s="24">
        <v>0</v>
      </c>
      <c r="L37" s="24"/>
      <c r="M37" s="57"/>
      <c r="N37" s="58"/>
      <c r="O37" s="24"/>
      <c r="P37" s="24"/>
      <c r="Q37" s="57"/>
      <c r="R37" s="58"/>
      <c r="S37" s="24"/>
      <c r="T37" s="24"/>
      <c r="U37" s="57"/>
      <c r="V37" s="58"/>
      <c r="W37"/>
      <c r="X37" s="341"/>
      <c r="Y37"/>
    </row>
    <row r="38" spans="1:27" ht="15.75" customHeight="1" outlineLevel="1">
      <c r="A38" s="326"/>
      <c r="B38" s="327" t="s">
        <v>404</v>
      </c>
      <c r="C38" s="100">
        <v>0</v>
      </c>
      <c r="D38" s="95">
        <v>0</v>
      </c>
      <c r="E38" s="57" t="str">
        <f t="shared" ref="E38:E47" si="24">IFERROR(D38/C38-1,"")</f>
        <v/>
      </c>
      <c r="F38" s="96">
        <f t="shared" ref="F38:F47" si="25">D38-C38</f>
        <v>0</v>
      </c>
      <c r="G38" s="95">
        <v>0</v>
      </c>
      <c r="H38" s="95">
        <f t="shared" ref="H38:H46" si="26">T38-D38</f>
        <v>0</v>
      </c>
      <c r="I38" s="57" t="str">
        <f t="shared" ref="I38:I47" si="27">IFERROR(H38/G38-1,"")</f>
        <v/>
      </c>
      <c r="J38" s="96">
        <f t="shared" ref="J38:J47" si="28">H38-G38</f>
        <v>0</v>
      </c>
      <c r="K38" s="95">
        <v>0</v>
      </c>
      <c r="L38" s="95"/>
      <c r="M38" s="57" t="str">
        <f t="shared" ref="M38:M47" si="29">IFERROR(L38/K38-1,"")</f>
        <v/>
      </c>
      <c r="N38" s="96">
        <f t="shared" ref="N38:N47" si="30">L38-K38</f>
        <v>0</v>
      </c>
      <c r="O38" s="95">
        <v>0</v>
      </c>
      <c r="P38" s="95"/>
      <c r="Q38" s="57" t="str">
        <f t="shared" ref="Q38:Q47" si="31">IFERROR(P38/O38-1,"")</f>
        <v/>
      </c>
      <c r="R38" s="96">
        <f t="shared" ref="R38:R47" si="32">P38-O38</f>
        <v>0</v>
      </c>
      <c r="S38" s="95">
        <f t="shared" ref="S38:S46" si="33">C38+G38</f>
        <v>0</v>
      </c>
      <c r="T38" s="95">
        <v>0</v>
      </c>
      <c r="U38" s="57" t="str">
        <f t="shared" ref="U38:U47" si="34">IFERROR(T38/S38-1,"")</f>
        <v/>
      </c>
      <c r="V38" s="96">
        <f t="shared" ref="V38:V47" si="35">T38-S38</f>
        <v>0</v>
      </c>
      <c r="W38"/>
      <c r="X38" s="341"/>
      <c r="Y38"/>
      <c r="AA38" s="395" t="s">
        <v>463</v>
      </c>
    </row>
    <row r="39" spans="1:27" ht="15.75" customHeight="1" outlineLevel="1">
      <c r="A39" s="326"/>
      <c r="B39" s="327" t="s">
        <v>589</v>
      </c>
      <c r="C39" s="95">
        <v>0</v>
      </c>
      <c r="D39" s="95">
        <v>0</v>
      </c>
      <c r="E39" s="57" t="str">
        <f t="shared" si="24"/>
        <v/>
      </c>
      <c r="F39" s="96">
        <f t="shared" si="25"/>
        <v>0</v>
      </c>
      <c r="G39" s="95">
        <v>0</v>
      </c>
      <c r="H39" s="95">
        <f t="shared" si="26"/>
        <v>0</v>
      </c>
      <c r="I39" s="57" t="str">
        <f t="shared" si="27"/>
        <v/>
      </c>
      <c r="J39" s="96">
        <f t="shared" si="28"/>
        <v>0</v>
      </c>
      <c r="K39" s="95">
        <v>0</v>
      </c>
      <c r="L39" s="95"/>
      <c r="M39" s="57" t="str">
        <f t="shared" si="29"/>
        <v/>
      </c>
      <c r="N39" s="96">
        <f t="shared" si="30"/>
        <v>0</v>
      </c>
      <c r="O39" s="95">
        <v>0</v>
      </c>
      <c r="P39" s="95"/>
      <c r="Q39" s="57" t="str">
        <f t="shared" si="31"/>
        <v/>
      </c>
      <c r="R39" s="96">
        <f t="shared" si="32"/>
        <v>0</v>
      </c>
      <c r="S39" s="95">
        <f t="shared" si="33"/>
        <v>0</v>
      </c>
      <c r="T39" s="95">
        <v>0</v>
      </c>
      <c r="U39" s="57" t="str">
        <f t="shared" si="34"/>
        <v/>
      </c>
      <c r="V39" s="96">
        <f t="shared" si="35"/>
        <v>0</v>
      </c>
      <c r="W39"/>
      <c r="X39" s="341"/>
      <c r="Y39"/>
      <c r="AA39" s="395" t="s">
        <v>460</v>
      </c>
    </row>
    <row r="40" spans="1:27" ht="15.75" customHeight="1" outlineLevel="1">
      <c r="A40" s="326"/>
      <c r="B40" s="327" t="s">
        <v>590</v>
      </c>
      <c r="C40" s="95">
        <v>0</v>
      </c>
      <c r="D40" s="95">
        <v>0</v>
      </c>
      <c r="E40" s="57" t="str">
        <f t="shared" si="24"/>
        <v/>
      </c>
      <c r="F40" s="96">
        <f t="shared" si="25"/>
        <v>0</v>
      </c>
      <c r="G40" s="95">
        <v>0</v>
      </c>
      <c r="H40" s="95">
        <f t="shared" si="26"/>
        <v>0</v>
      </c>
      <c r="I40" s="57" t="str">
        <f t="shared" si="27"/>
        <v/>
      </c>
      <c r="J40" s="96">
        <f t="shared" si="28"/>
        <v>0</v>
      </c>
      <c r="K40" s="95">
        <v>0</v>
      </c>
      <c r="L40" s="95"/>
      <c r="M40" s="57" t="str">
        <f t="shared" si="29"/>
        <v/>
      </c>
      <c r="N40" s="96">
        <f t="shared" si="30"/>
        <v>0</v>
      </c>
      <c r="O40" s="95">
        <v>0</v>
      </c>
      <c r="P40" s="95"/>
      <c r="Q40" s="57" t="str">
        <f t="shared" si="31"/>
        <v/>
      </c>
      <c r="R40" s="96">
        <f t="shared" si="32"/>
        <v>0</v>
      </c>
      <c r="S40" s="95">
        <f t="shared" si="33"/>
        <v>0</v>
      </c>
      <c r="T40" s="95"/>
      <c r="U40" s="57" t="str">
        <f t="shared" si="34"/>
        <v/>
      </c>
      <c r="V40" s="96">
        <f t="shared" si="35"/>
        <v>0</v>
      </c>
      <c r="W40"/>
      <c r="X40" s="341"/>
      <c r="Y40"/>
      <c r="AA40" s="395" t="s">
        <v>463</v>
      </c>
    </row>
    <row r="41" spans="1:27" ht="15.75" customHeight="1" outlineLevel="1">
      <c r="A41" s="326"/>
      <c r="B41" s="327" t="s">
        <v>591</v>
      </c>
      <c r="C41" s="95">
        <v>0</v>
      </c>
      <c r="D41" s="95">
        <v>0</v>
      </c>
      <c r="E41" s="57" t="str">
        <f t="shared" si="24"/>
        <v/>
      </c>
      <c r="F41" s="96">
        <f t="shared" si="25"/>
        <v>0</v>
      </c>
      <c r="G41" s="95">
        <v>0</v>
      </c>
      <c r="H41" s="95">
        <f t="shared" si="26"/>
        <v>0</v>
      </c>
      <c r="I41" s="57" t="str">
        <f t="shared" si="27"/>
        <v/>
      </c>
      <c r="J41" s="96">
        <f t="shared" si="28"/>
        <v>0</v>
      </c>
      <c r="K41" s="95">
        <v>0</v>
      </c>
      <c r="L41" s="95"/>
      <c r="M41" s="57" t="str">
        <f t="shared" si="29"/>
        <v/>
      </c>
      <c r="N41" s="96">
        <f t="shared" si="30"/>
        <v>0</v>
      </c>
      <c r="O41" s="95">
        <v>0</v>
      </c>
      <c r="P41" s="95"/>
      <c r="Q41" s="57" t="str">
        <f t="shared" si="31"/>
        <v/>
      </c>
      <c r="R41" s="96">
        <f t="shared" si="32"/>
        <v>0</v>
      </c>
      <c r="S41" s="95">
        <f t="shared" si="33"/>
        <v>0</v>
      </c>
      <c r="T41" s="95">
        <v>0</v>
      </c>
      <c r="U41" s="57" t="str">
        <f t="shared" si="34"/>
        <v/>
      </c>
      <c r="V41" s="96">
        <f t="shared" si="35"/>
        <v>0</v>
      </c>
      <c r="W41"/>
      <c r="X41" s="341"/>
      <c r="Y41"/>
      <c r="AA41" s="395" t="s">
        <v>412</v>
      </c>
    </row>
    <row r="42" spans="1:27" ht="15.75" customHeight="1" outlineLevel="1">
      <c r="A42" s="326"/>
      <c r="B42" s="327" t="s">
        <v>592</v>
      </c>
      <c r="C42" s="95">
        <v>0</v>
      </c>
      <c r="D42" s="95">
        <v>0</v>
      </c>
      <c r="E42" s="57" t="str">
        <f t="shared" si="24"/>
        <v/>
      </c>
      <c r="F42" s="96">
        <f t="shared" si="25"/>
        <v>0</v>
      </c>
      <c r="G42" s="95">
        <v>0</v>
      </c>
      <c r="H42" s="95">
        <f t="shared" si="26"/>
        <v>0</v>
      </c>
      <c r="I42" s="57" t="str">
        <f t="shared" si="27"/>
        <v/>
      </c>
      <c r="J42" s="96">
        <f t="shared" si="28"/>
        <v>0</v>
      </c>
      <c r="K42" s="95">
        <v>0</v>
      </c>
      <c r="L42" s="95"/>
      <c r="M42" s="57" t="str">
        <f t="shared" si="29"/>
        <v/>
      </c>
      <c r="N42" s="96">
        <f t="shared" si="30"/>
        <v>0</v>
      </c>
      <c r="O42" s="95">
        <v>0</v>
      </c>
      <c r="P42" s="95"/>
      <c r="Q42" s="57" t="str">
        <f t="shared" si="31"/>
        <v/>
      </c>
      <c r="R42" s="96">
        <f t="shared" si="32"/>
        <v>0</v>
      </c>
      <c r="S42" s="100">
        <f t="shared" si="33"/>
        <v>0</v>
      </c>
      <c r="T42" s="95">
        <v>0</v>
      </c>
      <c r="U42" s="57" t="str">
        <f t="shared" si="34"/>
        <v/>
      </c>
      <c r="V42" s="96">
        <f t="shared" si="35"/>
        <v>0</v>
      </c>
      <c r="W42"/>
      <c r="X42" s="341"/>
      <c r="Y42" s="393"/>
      <c r="AA42" s="395" t="s">
        <v>458</v>
      </c>
    </row>
    <row r="43" spans="1:27" ht="15.75" customHeight="1" outlineLevel="1">
      <c r="A43" s="326"/>
      <c r="B43" s="344" t="s">
        <v>593</v>
      </c>
      <c r="C43" s="95">
        <v>-1003</v>
      </c>
      <c r="D43" s="95">
        <v>-1806</v>
      </c>
      <c r="E43" s="57">
        <f t="shared" si="24"/>
        <v>0.80059820538384852</v>
      </c>
      <c r="F43" s="96">
        <f t="shared" si="25"/>
        <v>-803</v>
      </c>
      <c r="G43" s="95">
        <v>-2017</v>
      </c>
      <c r="H43" s="95">
        <f t="shared" si="26"/>
        <v>-2041</v>
      </c>
      <c r="I43" s="57">
        <f t="shared" si="27"/>
        <v>1.189885969261284E-2</v>
      </c>
      <c r="J43" s="96">
        <f t="shared" si="28"/>
        <v>-24</v>
      </c>
      <c r="K43" s="95">
        <v>-1475</v>
      </c>
      <c r="L43" s="95"/>
      <c r="M43" s="57">
        <f t="shared" si="29"/>
        <v>-1</v>
      </c>
      <c r="N43" s="96">
        <f t="shared" si="30"/>
        <v>1475</v>
      </c>
      <c r="O43" s="95">
        <v>-529</v>
      </c>
      <c r="P43" s="95"/>
      <c r="Q43" s="57">
        <f t="shared" si="31"/>
        <v>-1</v>
      </c>
      <c r="R43" s="96">
        <f t="shared" si="32"/>
        <v>529</v>
      </c>
      <c r="S43" s="95">
        <f t="shared" si="33"/>
        <v>-3020</v>
      </c>
      <c r="T43" s="95">
        <v>-3847</v>
      </c>
      <c r="U43" s="57">
        <f t="shared" si="34"/>
        <v>0.27384105960264904</v>
      </c>
      <c r="V43" s="96">
        <f t="shared" si="35"/>
        <v>-827</v>
      </c>
      <c r="W43"/>
      <c r="X43" s="341"/>
      <c r="Y43"/>
      <c r="AA43" s="395" t="s">
        <v>25</v>
      </c>
    </row>
    <row r="44" spans="1:27" ht="15.75" customHeight="1" outlineLevel="1">
      <c r="A44" s="326"/>
      <c r="B44" s="344" t="s">
        <v>594</v>
      </c>
      <c r="C44" s="95">
        <v>2</v>
      </c>
      <c r="D44" s="95">
        <v>293</v>
      </c>
      <c r="E44" s="57">
        <f t="shared" si="24"/>
        <v>145.5</v>
      </c>
      <c r="F44" s="96">
        <f t="shared" si="25"/>
        <v>291</v>
      </c>
      <c r="G44" s="95">
        <v>277</v>
      </c>
      <c r="H44" s="95">
        <f t="shared" si="26"/>
        <v>553</v>
      </c>
      <c r="I44" s="57">
        <f t="shared" si="27"/>
        <v>0.99638989169675085</v>
      </c>
      <c r="J44" s="96">
        <f t="shared" si="28"/>
        <v>276</v>
      </c>
      <c r="K44" s="95">
        <v>320</v>
      </c>
      <c r="L44" s="95"/>
      <c r="M44" s="57">
        <f t="shared" si="29"/>
        <v>-1</v>
      </c>
      <c r="N44" s="96">
        <f t="shared" si="30"/>
        <v>-320</v>
      </c>
      <c r="O44" s="95">
        <v>70</v>
      </c>
      <c r="P44" s="95"/>
      <c r="Q44" s="57">
        <f t="shared" si="31"/>
        <v>-1</v>
      </c>
      <c r="R44" s="96">
        <f t="shared" si="32"/>
        <v>-70</v>
      </c>
      <c r="S44" s="95">
        <f t="shared" si="33"/>
        <v>279</v>
      </c>
      <c r="T44" s="95">
        <v>846</v>
      </c>
      <c r="U44" s="57">
        <f t="shared" si="34"/>
        <v>2.032258064516129</v>
      </c>
      <c r="V44" s="96">
        <f t="shared" si="35"/>
        <v>567</v>
      </c>
      <c r="W44"/>
      <c r="X44" s="341"/>
      <c r="Y44"/>
      <c r="AA44" s="395" t="s">
        <v>376</v>
      </c>
    </row>
    <row r="45" spans="1:27" ht="15.75" customHeight="1">
      <c r="A45" s="326"/>
      <c r="B45" s="344" t="s">
        <v>595</v>
      </c>
      <c r="C45" s="95">
        <v>-1113</v>
      </c>
      <c r="D45" s="95">
        <v>-772</v>
      </c>
      <c r="E45" s="57">
        <f t="shared" si="24"/>
        <v>-0.30637915543575922</v>
      </c>
      <c r="F45" s="96">
        <f t="shared" si="25"/>
        <v>341</v>
      </c>
      <c r="G45" s="95">
        <v>-1730</v>
      </c>
      <c r="H45" s="95">
        <f t="shared" si="26"/>
        <v>-2255</v>
      </c>
      <c r="I45" s="57">
        <f t="shared" si="27"/>
        <v>0.30346820809248554</v>
      </c>
      <c r="J45" s="96">
        <f t="shared" si="28"/>
        <v>-525</v>
      </c>
      <c r="K45" s="95">
        <v>-1316</v>
      </c>
      <c r="L45" s="95"/>
      <c r="M45" s="57">
        <f t="shared" si="29"/>
        <v>-1</v>
      </c>
      <c r="N45" s="96">
        <f t="shared" si="30"/>
        <v>1316</v>
      </c>
      <c r="O45" s="95">
        <v>-1652</v>
      </c>
      <c r="P45" s="95"/>
      <c r="Q45" s="57">
        <f t="shared" si="31"/>
        <v>-1</v>
      </c>
      <c r="R45" s="96">
        <f t="shared" si="32"/>
        <v>1652</v>
      </c>
      <c r="S45" s="95">
        <f t="shared" si="33"/>
        <v>-2843</v>
      </c>
      <c r="T45" s="95">
        <v>-3027</v>
      </c>
      <c r="U45" s="57">
        <f t="shared" si="34"/>
        <v>6.4720365810763347E-2</v>
      </c>
      <c r="V45" s="96">
        <f t="shared" si="35"/>
        <v>-184</v>
      </c>
      <c r="W45"/>
      <c r="X45" s="341"/>
      <c r="Y45"/>
      <c r="AA45" s="395" t="s">
        <v>378</v>
      </c>
    </row>
    <row r="46" spans="1:27" ht="15.75" customHeight="1" outlineLevel="1">
      <c r="A46" s="326"/>
      <c r="B46" s="327" t="s">
        <v>596</v>
      </c>
      <c r="C46" s="95"/>
      <c r="D46" s="95"/>
      <c r="E46" s="57" t="str">
        <f t="shared" si="24"/>
        <v/>
      </c>
      <c r="F46" s="96">
        <f t="shared" si="25"/>
        <v>0</v>
      </c>
      <c r="G46" s="95">
        <v>0</v>
      </c>
      <c r="H46" s="95">
        <f t="shared" si="26"/>
        <v>0</v>
      </c>
      <c r="I46" s="57" t="str">
        <f t="shared" si="27"/>
        <v/>
      </c>
      <c r="J46" s="96">
        <f t="shared" si="28"/>
        <v>0</v>
      </c>
      <c r="K46" s="95">
        <v>0</v>
      </c>
      <c r="L46" s="95"/>
      <c r="M46" s="57" t="str">
        <f t="shared" si="29"/>
        <v/>
      </c>
      <c r="N46" s="96">
        <f t="shared" si="30"/>
        <v>0</v>
      </c>
      <c r="O46" s="95">
        <v>0</v>
      </c>
      <c r="P46" s="95"/>
      <c r="Q46" s="57" t="str">
        <f t="shared" si="31"/>
        <v/>
      </c>
      <c r="R46" s="96">
        <f t="shared" si="32"/>
        <v>0</v>
      </c>
      <c r="S46" s="95">
        <f t="shared" si="33"/>
        <v>0</v>
      </c>
      <c r="T46" s="95">
        <f t="shared" ref="T46" si="36">D46</f>
        <v>0</v>
      </c>
      <c r="U46" s="57" t="str">
        <f t="shared" si="34"/>
        <v/>
      </c>
      <c r="V46" s="96">
        <f t="shared" si="35"/>
        <v>0</v>
      </c>
      <c r="W46"/>
      <c r="X46" s="341"/>
      <c r="Y46"/>
      <c r="AA46" s="395" t="s">
        <v>459</v>
      </c>
    </row>
    <row r="47" spans="1:27" ht="15.75" customHeight="1" outlineLevel="1">
      <c r="A47" s="332" t="s">
        <v>597</v>
      </c>
      <c r="B47" s="333"/>
      <c r="C47" s="17">
        <v>-2114</v>
      </c>
      <c r="D47" s="17">
        <f>SUM(D38:D45)</f>
        <v>-2285</v>
      </c>
      <c r="E47" s="71">
        <f t="shared" si="24"/>
        <v>8.088930936613048E-2</v>
      </c>
      <c r="F47" s="97">
        <f t="shared" si="25"/>
        <v>-171</v>
      </c>
      <c r="G47" s="17">
        <v>-3470</v>
      </c>
      <c r="H47" s="17">
        <f>SUM(H38:H45)</f>
        <v>-3743</v>
      </c>
      <c r="I47" s="71">
        <f t="shared" si="27"/>
        <v>7.8674351585014346E-2</v>
      </c>
      <c r="J47" s="97">
        <f t="shared" si="28"/>
        <v>-273</v>
      </c>
      <c r="K47" s="17">
        <v>-2471</v>
      </c>
      <c r="L47" s="17"/>
      <c r="M47" s="71">
        <f t="shared" si="29"/>
        <v>-1</v>
      </c>
      <c r="N47" s="97">
        <f t="shared" si="30"/>
        <v>2471</v>
      </c>
      <c r="O47" s="17">
        <v>-2111</v>
      </c>
      <c r="P47" s="17"/>
      <c r="Q47" s="71">
        <f t="shared" si="31"/>
        <v>-1</v>
      </c>
      <c r="R47" s="97">
        <f t="shared" si="32"/>
        <v>2111</v>
      </c>
      <c r="S47" s="17">
        <f>SUM(S38:S46)</f>
        <v>-5584</v>
      </c>
      <c r="T47" s="17">
        <f>SUM(T38:T46)</f>
        <v>-6028</v>
      </c>
      <c r="U47" s="71">
        <f t="shared" si="34"/>
        <v>7.9512893982808031E-2</v>
      </c>
      <c r="V47" s="97">
        <f t="shared" si="35"/>
        <v>-444</v>
      </c>
      <c r="W47"/>
      <c r="X47" s="341"/>
      <c r="Y47"/>
    </row>
    <row r="48" spans="1:27" ht="15.75" customHeight="1" outlineLevel="1">
      <c r="A48" s="326" t="s">
        <v>598</v>
      </c>
      <c r="B48" s="327"/>
      <c r="C48" s="19"/>
      <c r="D48" s="29"/>
      <c r="E48" s="57"/>
      <c r="F48" s="58"/>
      <c r="G48" s="29">
        <v>0</v>
      </c>
      <c r="H48" s="29"/>
      <c r="I48" s="57"/>
      <c r="J48" s="58"/>
      <c r="K48" s="29">
        <v>0</v>
      </c>
      <c r="L48" s="29"/>
      <c r="M48" s="57"/>
      <c r="N48" s="58"/>
      <c r="O48" s="29"/>
      <c r="P48" s="29"/>
      <c r="Q48" s="57"/>
      <c r="R48" s="58"/>
      <c r="S48" s="95"/>
      <c r="T48" s="95"/>
      <c r="U48" s="57"/>
      <c r="V48" s="58"/>
      <c r="W48"/>
      <c r="X48" s="341"/>
      <c r="Y48"/>
    </row>
    <row r="49" spans="1:27" s="101" customFormat="1" ht="15.75" customHeight="1" outlineLevel="1">
      <c r="A49" s="343"/>
      <c r="B49" s="344" t="s">
        <v>599</v>
      </c>
      <c r="C49" s="95">
        <v>-7952</v>
      </c>
      <c r="D49" s="95">
        <v>-4225</v>
      </c>
      <c r="E49" s="57">
        <f t="shared" ref="E49:E61" si="37">IFERROR(D49/C49-1,"")</f>
        <v>-0.46868712273641855</v>
      </c>
      <c r="F49" s="96">
        <f t="shared" ref="F49:F61" si="38">D49-C49</f>
        <v>3727</v>
      </c>
      <c r="G49" s="95">
        <v>-16503</v>
      </c>
      <c r="H49" s="95">
        <f t="shared" ref="H49:H59" si="39">T49-D49</f>
        <v>-12877</v>
      </c>
      <c r="I49" s="57">
        <f t="shared" ref="I49:I61" si="40">IFERROR(H49/G49-1,"")</f>
        <v>-0.21971762709810339</v>
      </c>
      <c r="J49" s="96">
        <f t="shared" ref="J49:J61" si="41">H49-G49</f>
        <v>3626</v>
      </c>
      <c r="K49" s="95">
        <v>-13876</v>
      </c>
      <c r="L49" s="95"/>
      <c r="M49" s="57">
        <f t="shared" ref="M49:M61" si="42">IFERROR(L49/K49-1,"")</f>
        <v>-1</v>
      </c>
      <c r="N49" s="96">
        <f t="shared" ref="N49:N61" si="43">L49-K49</f>
        <v>13876</v>
      </c>
      <c r="O49" s="95">
        <v>-8412</v>
      </c>
      <c r="P49" s="95"/>
      <c r="Q49" s="57">
        <f t="shared" ref="Q49:Q61" si="44">IFERROR(P49/O49-1,"")</f>
        <v>-1</v>
      </c>
      <c r="R49" s="96">
        <f t="shared" ref="R49:R61" si="45">P49-O49</f>
        <v>8412</v>
      </c>
      <c r="S49" s="95">
        <f t="shared" ref="S49:S59" si="46">C49+G49</f>
        <v>-24455</v>
      </c>
      <c r="T49" s="95">
        <v>-17102</v>
      </c>
      <c r="U49" s="57">
        <f t="shared" ref="U49:U61" si="47">IFERROR(T49/S49-1,"")</f>
        <v>-0.30067470864853818</v>
      </c>
      <c r="V49" s="96">
        <f t="shared" ref="V49:V61" si="48">T49-S49</f>
        <v>7353</v>
      </c>
      <c r="W49"/>
      <c r="X49" s="341"/>
      <c r="Y49"/>
      <c r="AA49" s="397" t="s">
        <v>461</v>
      </c>
    </row>
    <row r="50" spans="1:27" ht="15.75" customHeight="1" outlineLevel="1">
      <c r="A50" s="326"/>
      <c r="B50" s="327" t="s">
        <v>600</v>
      </c>
      <c r="C50" s="95">
        <v>0</v>
      </c>
      <c r="D50" s="95">
        <v>0</v>
      </c>
      <c r="E50" s="57" t="str">
        <f t="shared" si="37"/>
        <v/>
      </c>
      <c r="F50" s="96">
        <f t="shared" si="38"/>
        <v>0</v>
      </c>
      <c r="G50" s="95">
        <v>0</v>
      </c>
      <c r="H50" s="95">
        <f t="shared" si="39"/>
        <v>0</v>
      </c>
      <c r="I50" s="57" t="str">
        <f t="shared" si="40"/>
        <v/>
      </c>
      <c r="J50" s="96">
        <f t="shared" si="41"/>
        <v>0</v>
      </c>
      <c r="K50" s="95">
        <v>0</v>
      </c>
      <c r="L50" s="95"/>
      <c r="M50" s="57" t="str">
        <f t="shared" si="42"/>
        <v/>
      </c>
      <c r="N50" s="96">
        <f t="shared" si="43"/>
        <v>0</v>
      </c>
      <c r="O50" s="95">
        <v>0</v>
      </c>
      <c r="P50" s="95"/>
      <c r="Q50" s="57" t="str">
        <f t="shared" si="44"/>
        <v/>
      </c>
      <c r="R50" s="96">
        <f t="shared" si="45"/>
        <v>0</v>
      </c>
      <c r="S50" s="95">
        <f t="shared" si="46"/>
        <v>0</v>
      </c>
      <c r="T50" s="95">
        <v>0</v>
      </c>
      <c r="U50" s="57" t="str">
        <f t="shared" si="47"/>
        <v/>
      </c>
      <c r="V50" s="96">
        <f t="shared" si="48"/>
        <v>0</v>
      </c>
      <c r="W50"/>
      <c r="X50" s="341"/>
      <c r="Y50"/>
      <c r="AA50" s="395" t="s">
        <v>412</v>
      </c>
    </row>
    <row r="51" spans="1:27" ht="15.75" customHeight="1" outlineLevel="1">
      <c r="A51" s="326"/>
      <c r="B51" s="327" t="s">
        <v>601</v>
      </c>
      <c r="C51" s="95">
        <v>0</v>
      </c>
      <c r="D51" s="95">
        <v>0</v>
      </c>
      <c r="E51" s="57" t="str">
        <f t="shared" si="37"/>
        <v/>
      </c>
      <c r="F51" s="96">
        <f t="shared" si="38"/>
        <v>0</v>
      </c>
      <c r="G51" s="95">
        <v>0</v>
      </c>
      <c r="H51" s="95">
        <f t="shared" si="39"/>
        <v>0</v>
      </c>
      <c r="I51" s="57" t="str">
        <f t="shared" si="40"/>
        <v/>
      </c>
      <c r="J51" s="96">
        <f t="shared" si="41"/>
        <v>0</v>
      </c>
      <c r="K51" s="95">
        <v>0</v>
      </c>
      <c r="L51" s="95"/>
      <c r="M51" s="57" t="str">
        <f t="shared" si="42"/>
        <v/>
      </c>
      <c r="N51" s="96">
        <f t="shared" si="43"/>
        <v>0</v>
      </c>
      <c r="O51" s="95">
        <v>0</v>
      </c>
      <c r="P51" s="95"/>
      <c r="Q51" s="57" t="str">
        <f t="shared" si="44"/>
        <v/>
      </c>
      <c r="R51" s="96">
        <f t="shared" si="45"/>
        <v>0</v>
      </c>
      <c r="S51" s="95">
        <f t="shared" si="46"/>
        <v>0</v>
      </c>
      <c r="T51" s="95">
        <v>0</v>
      </c>
      <c r="U51" s="57" t="str">
        <f t="shared" si="47"/>
        <v/>
      </c>
      <c r="V51" s="96">
        <f t="shared" si="48"/>
        <v>0</v>
      </c>
      <c r="W51"/>
      <c r="X51" s="341"/>
      <c r="Y51"/>
      <c r="AA51" s="395" t="s">
        <v>463</v>
      </c>
    </row>
    <row r="52" spans="1:27" ht="15.75" customHeight="1" outlineLevel="1">
      <c r="A52" s="326"/>
      <c r="B52" s="327" t="s">
        <v>602</v>
      </c>
      <c r="C52" s="95">
        <v>-10226</v>
      </c>
      <c r="D52" s="95">
        <v>-14987</v>
      </c>
      <c r="E52" s="57">
        <f t="shared" si="37"/>
        <v>0.46557793858791308</v>
      </c>
      <c r="F52" s="96">
        <f t="shared" si="38"/>
        <v>-4761</v>
      </c>
      <c r="G52" s="95">
        <v>0</v>
      </c>
      <c r="H52" s="95">
        <f t="shared" si="39"/>
        <v>0</v>
      </c>
      <c r="I52" s="57" t="str">
        <f t="shared" si="40"/>
        <v/>
      </c>
      <c r="J52" s="96">
        <f t="shared" si="41"/>
        <v>0</v>
      </c>
      <c r="K52" s="95">
        <v>0</v>
      </c>
      <c r="L52" s="95"/>
      <c r="M52" s="57" t="str">
        <f t="shared" si="42"/>
        <v/>
      </c>
      <c r="N52" s="96">
        <f t="shared" si="43"/>
        <v>0</v>
      </c>
      <c r="O52" s="95">
        <v>-2</v>
      </c>
      <c r="P52" s="95"/>
      <c r="Q52" s="57">
        <f t="shared" si="44"/>
        <v>-1</v>
      </c>
      <c r="R52" s="96">
        <f t="shared" si="45"/>
        <v>2</v>
      </c>
      <c r="S52" s="95">
        <f t="shared" si="46"/>
        <v>-10226</v>
      </c>
      <c r="T52" s="95">
        <v>-14987</v>
      </c>
      <c r="U52" s="57">
        <f t="shared" si="47"/>
        <v>0.46557793858791308</v>
      </c>
      <c r="V52" s="96">
        <f t="shared" si="48"/>
        <v>-4761</v>
      </c>
      <c r="W52"/>
      <c r="X52" s="341"/>
      <c r="Y52"/>
      <c r="AA52" s="395" t="s">
        <v>27</v>
      </c>
    </row>
    <row r="53" spans="1:27" ht="15.75" customHeight="1" outlineLevel="1">
      <c r="A53" s="326"/>
      <c r="B53" s="327" t="s">
        <v>592</v>
      </c>
      <c r="C53" s="95">
        <v>22</v>
      </c>
      <c r="D53" s="95">
        <v>-7</v>
      </c>
      <c r="E53" s="57">
        <f t="shared" si="37"/>
        <v>-1.3181818181818181</v>
      </c>
      <c r="F53" s="96">
        <f t="shared" si="38"/>
        <v>-29</v>
      </c>
      <c r="G53" s="95">
        <v>-225</v>
      </c>
      <c r="H53" s="95">
        <f t="shared" si="39"/>
        <v>-67</v>
      </c>
      <c r="I53" s="57">
        <f t="shared" si="40"/>
        <v>-0.7022222222222223</v>
      </c>
      <c r="J53" s="96">
        <f t="shared" si="41"/>
        <v>158</v>
      </c>
      <c r="K53" s="95">
        <v>-46</v>
      </c>
      <c r="L53" s="95"/>
      <c r="M53" s="57">
        <f t="shared" si="42"/>
        <v>-1</v>
      </c>
      <c r="N53" s="96">
        <f t="shared" si="43"/>
        <v>46</v>
      </c>
      <c r="O53" s="95">
        <v>2</v>
      </c>
      <c r="P53" s="95"/>
      <c r="Q53" s="57">
        <f t="shared" si="44"/>
        <v>-1</v>
      </c>
      <c r="R53" s="96">
        <f t="shared" si="45"/>
        <v>-2</v>
      </c>
      <c r="S53" s="95">
        <f t="shared" si="46"/>
        <v>-203</v>
      </c>
      <c r="T53" s="95">
        <v>-74</v>
      </c>
      <c r="U53" s="57">
        <f t="shared" si="47"/>
        <v>-0.6354679802955665</v>
      </c>
      <c r="V53" s="96">
        <f t="shared" si="48"/>
        <v>129</v>
      </c>
      <c r="W53"/>
      <c r="X53" s="341"/>
      <c r="Y53"/>
      <c r="AA53" s="395" t="s">
        <v>416</v>
      </c>
    </row>
    <row r="54" spans="1:27" ht="15.75" customHeight="1" outlineLevel="1">
      <c r="A54" s="326"/>
      <c r="B54" s="327" t="s">
        <v>532</v>
      </c>
      <c r="C54" s="95">
        <v>0</v>
      </c>
      <c r="D54" s="95">
        <v>0</v>
      </c>
      <c r="E54" s="57" t="str">
        <f t="shared" si="37"/>
        <v/>
      </c>
      <c r="F54" s="96">
        <f t="shared" si="38"/>
        <v>0</v>
      </c>
      <c r="G54" s="95">
        <v>0</v>
      </c>
      <c r="H54" s="95">
        <f t="shared" si="39"/>
        <v>0</v>
      </c>
      <c r="I54" s="57" t="str">
        <f t="shared" si="40"/>
        <v/>
      </c>
      <c r="J54" s="96">
        <f t="shared" si="41"/>
        <v>0</v>
      </c>
      <c r="K54" s="95">
        <v>46000</v>
      </c>
      <c r="L54" s="95"/>
      <c r="M54" s="57">
        <f t="shared" si="42"/>
        <v>-1</v>
      </c>
      <c r="N54" s="96">
        <f t="shared" si="43"/>
        <v>-46000</v>
      </c>
      <c r="O54" s="95">
        <v>0</v>
      </c>
      <c r="P54" s="95"/>
      <c r="Q54" s="57" t="str">
        <f t="shared" si="44"/>
        <v/>
      </c>
      <c r="R54" s="96">
        <f t="shared" si="45"/>
        <v>0</v>
      </c>
      <c r="S54" s="95">
        <f t="shared" si="46"/>
        <v>0</v>
      </c>
      <c r="T54" s="95">
        <v>0</v>
      </c>
      <c r="U54" s="57" t="str">
        <f t="shared" si="47"/>
        <v/>
      </c>
      <c r="V54" s="96">
        <f t="shared" si="48"/>
        <v>0</v>
      </c>
      <c r="W54"/>
      <c r="X54" s="341"/>
      <c r="Y54"/>
      <c r="AA54" s="395" t="s">
        <v>408</v>
      </c>
    </row>
    <row r="55" spans="1:27" ht="15.75" customHeight="1">
      <c r="A55" s="326"/>
      <c r="B55" s="327" t="s">
        <v>603</v>
      </c>
      <c r="C55" s="95">
        <v>-3884</v>
      </c>
      <c r="D55" s="95">
        <v>-4068</v>
      </c>
      <c r="E55" s="57">
        <f t="shared" si="37"/>
        <v>4.7373841400617955E-2</v>
      </c>
      <c r="F55" s="96">
        <f t="shared" si="38"/>
        <v>-184</v>
      </c>
      <c r="G55" s="95">
        <v>-3885</v>
      </c>
      <c r="H55" s="95">
        <f t="shared" si="39"/>
        <v>-4356</v>
      </c>
      <c r="I55" s="57">
        <f t="shared" si="40"/>
        <v>0.12123552123552117</v>
      </c>
      <c r="J55" s="96">
        <f t="shared" si="41"/>
        <v>-471</v>
      </c>
      <c r="K55" s="95">
        <v>-25670</v>
      </c>
      <c r="L55" s="95"/>
      <c r="M55" s="57">
        <f t="shared" si="42"/>
        <v>-1</v>
      </c>
      <c r="N55" s="96">
        <f t="shared" si="43"/>
        <v>25670</v>
      </c>
      <c r="O55" s="95">
        <v>-2976</v>
      </c>
      <c r="P55" s="95"/>
      <c r="Q55" s="57">
        <f t="shared" si="44"/>
        <v>-1</v>
      </c>
      <c r="R55" s="96">
        <f t="shared" si="45"/>
        <v>2976</v>
      </c>
      <c r="S55" s="95">
        <f t="shared" si="46"/>
        <v>-7769</v>
      </c>
      <c r="T55" s="95">
        <v>-8424</v>
      </c>
      <c r="U55" s="57">
        <f t="shared" si="47"/>
        <v>8.4309434933710792E-2</v>
      </c>
      <c r="V55" s="96">
        <f t="shared" si="48"/>
        <v>-655</v>
      </c>
      <c r="W55"/>
      <c r="X55" s="341"/>
      <c r="Y55"/>
      <c r="AA55" s="395" t="s">
        <v>462</v>
      </c>
    </row>
    <row r="56" spans="1:27" ht="15.75" customHeight="1">
      <c r="A56" s="326"/>
      <c r="B56" s="327" t="s">
        <v>604</v>
      </c>
      <c r="C56" s="24">
        <v>0</v>
      </c>
      <c r="D56" s="95">
        <v>0</v>
      </c>
      <c r="E56" s="57" t="str">
        <f t="shared" si="37"/>
        <v/>
      </c>
      <c r="F56" s="96">
        <f t="shared" si="38"/>
        <v>0</v>
      </c>
      <c r="G56" s="95">
        <v>0</v>
      </c>
      <c r="H56" s="95">
        <f t="shared" si="39"/>
        <v>0</v>
      </c>
      <c r="I56" s="57" t="str">
        <f t="shared" si="40"/>
        <v/>
      </c>
      <c r="J56" s="96">
        <f t="shared" si="41"/>
        <v>0</v>
      </c>
      <c r="K56" s="95">
        <v>0</v>
      </c>
      <c r="L56" s="95"/>
      <c r="M56" s="57" t="str">
        <f t="shared" si="42"/>
        <v/>
      </c>
      <c r="N56" s="96">
        <f t="shared" si="43"/>
        <v>0</v>
      </c>
      <c r="O56" s="95">
        <v>0</v>
      </c>
      <c r="P56" s="95"/>
      <c r="Q56" s="57" t="str">
        <f t="shared" si="44"/>
        <v/>
      </c>
      <c r="R56" s="96">
        <f t="shared" si="45"/>
        <v>0</v>
      </c>
      <c r="S56" s="95">
        <f t="shared" si="46"/>
        <v>0</v>
      </c>
      <c r="T56" s="95">
        <v>0</v>
      </c>
      <c r="U56" s="57" t="str">
        <f t="shared" si="47"/>
        <v/>
      </c>
      <c r="V56" s="96">
        <f t="shared" si="48"/>
        <v>0</v>
      </c>
      <c r="W56"/>
      <c r="X56" s="341"/>
      <c r="Y56"/>
      <c r="AA56" s="395" t="s">
        <v>417</v>
      </c>
    </row>
    <row r="57" spans="1:27" ht="15.75" customHeight="1">
      <c r="A57" s="326"/>
      <c r="B57" s="327" t="s">
        <v>605</v>
      </c>
      <c r="C57" s="24">
        <v>-349</v>
      </c>
      <c r="D57" s="95">
        <v>-344</v>
      </c>
      <c r="E57" s="57">
        <f t="shared" si="37"/>
        <v>-1.4326647564469885E-2</v>
      </c>
      <c r="F57" s="96">
        <f t="shared" si="38"/>
        <v>5</v>
      </c>
      <c r="G57" s="95">
        <v>-334</v>
      </c>
      <c r="H57" s="95">
        <f t="shared" si="39"/>
        <v>-374</v>
      </c>
      <c r="I57" s="57">
        <f t="shared" si="40"/>
        <v>0.11976047904191622</v>
      </c>
      <c r="J57" s="96">
        <f t="shared" si="41"/>
        <v>-40</v>
      </c>
      <c r="K57" s="95">
        <v>-358</v>
      </c>
      <c r="L57" s="95"/>
      <c r="M57" s="57">
        <f t="shared" si="42"/>
        <v>-1</v>
      </c>
      <c r="N57" s="96">
        <f t="shared" si="43"/>
        <v>358</v>
      </c>
      <c r="O57" s="95">
        <v>-346</v>
      </c>
      <c r="P57" s="95"/>
      <c r="Q57" s="57">
        <f t="shared" si="44"/>
        <v>-1</v>
      </c>
      <c r="R57" s="96">
        <f t="shared" si="45"/>
        <v>346</v>
      </c>
      <c r="S57" s="95">
        <f t="shared" si="46"/>
        <v>-683</v>
      </c>
      <c r="T57" s="95">
        <v>-718</v>
      </c>
      <c r="U57" s="57">
        <f t="shared" si="47"/>
        <v>5.1244509516837455E-2</v>
      </c>
      <c r="V57" s="96">
        <f t="shared" si="48"/>
        <v>-35</v>
      </c>
      <c r="W57"/>
      <c r="X57" s="341"/>
      <c r="Y57"/>
      <c r="AA57" s="395" t="s">
        <v>418</v>
      </c>
    </row>
    <row r="58" spans="1:27" ht="15.75" customHeight="1">
      <c r="A58" s="326"/>
      <c r="B58" s="327" t="s">
        <v>606</v>
      </c>
      <c r="C58" s="95"/>
      <c r="D58" s="95"/>
      <c r="E58" s="57" t="str">
        <f t="shared" si="37"/>
        <v/>
      </c>
      <c r="F58" s="58">
        <f t="shared" si="38"/>
        <v>0</v>
      </c>
      <c r="G58" s="95">
        <v>0</v>
      </c>
      <c r="H58" s="95">
        <f t="shared" si="39"/>
        <v>0</v>
      </c>
      <c r="I58" s="57" t="str">
        <f t="shared" si="40"/>
        <v/>
      </c>
      <c r="J58" s="58">
        <f t="shared" si="41"/>
        <v>0</v>
      </c>
      <c r="K58" s="95">
        <v>0</v>
      </c>
      <c r="L58" s="95"/>
      <c r="M58" s="57" t="str">
        <f t="shared" si="42"/>
        <v/>
      </c>
      <c r="N58" s="58">
        <f t="shared" si="43"/>
        <v>0</v>
      </c>
      <c r="O58" s="95">
        <v>0</v>
      </c>
      <c r="P58" s="95"/>
      <c r="Q58" s="57" t="str">
        <f t="shared" si="44"/>
        <v/>
      </c>
      <c r="R58" s="58">
        <f t="shared" si="45"/>
        <v>0</v>
      </c>
      <c r="S58" s="95">
        <f t="shared" si="46"/>
        <v>0</v>
      </c>
      <c r="T58" s="95"/>
      <c r="U58" s="57" t="str">
        <f t="shared" si="47"/>
        <v/>
      </c>
      <c r="V58" s="58">
        <f t="shared" si="48"/>
        <v>0</v>
      </c>
      <c r="W58"/>
      <c r="X58" s="341"/>
      <c r="Y58"/>
      <c r="AA58" s="395" t="s">
        <v>463</v>
      </c>
    </row>
    <row r="59" spans="1:27" ht="15.75" customHeight="1">
      <c r="A59" s="326"/>
      <c r="B59" s="327" t="s">
        <v>607</v>
      </c>
      <c r="C59" s="95">
        <v>2016</v>
      </c>
      <c r="D59" s="95">
        <v>0</v>
      </c>
      <c r="E59" s="57">
        <f t="shared" si="37"/>
        <v>-1</v>
      </c>
      <c r="F59" s="58">
        <f t="shared" si="38"/>
        <v>-2016</v>
      </c>
      <c r="G59" s="95">
        <v>1185</v>
      </c>
      <c r="H59" s="95">
        <f t="shared" si="39"/>
        <v>1184</v>
      </c>
      <c r="I59" s="57">
        <f t="shared" si="40"/>
        <v>-8.4388185654005188E-4</v>
      </c>
      <c r="J59" s="58">
        <f t="shared" si="41"/>
        <v>-1</v>
      </c>
      <c r="K59" s="95">
        <v>2515</v>
      </c>
      <c r="L59" s="95"/>
      <c r="M59" s="57">
        <f t="shared" si="42"/>
        <v>-1</v>
      </c>
      <c r="N59" s="58">
        <f t="shared" si="43"/>
        <v>-2515</v>
      </c>
      <c r="O59" s="95">
        <v>0</v>
      </c>
      <c r="P59" s="95"/>
      <c r="Q59" s="57" t="str">
        <f t="shared" si="44"/>
        <v/>
      </c>
      <c r="R59" s="58">
        <f t="shared" si="45"/>
        <v>0</v>
      </c>
      <c r="S59" s="95">
        <f t="shared" si="46"/>
        <v>3201</v>
      </c>
      <c r="T59" s="95">
        <v>1184</v>
      </c>
      <c r="U59" s="57">
        <f t="shared" si="47"/>
        <v>-0.63011558887847552</v>
      </c>
      <c r="V59" s="58">
        <f t="shared" si="48"/>
        <v>-2017</v>
      </c>
      <c r="W59"/>
      <c r="X59" s="341"/>
      <c r="Y59"/>
      <c r="AA59" s="395" t="s">
        <v>422</v>
      </c>
    </row>
    <row r="60" spans="1:27" ht="15.75" customHeight="1">
      <c r="A60" s="332" t="s">
        <v>608</v>
      </c>
      <c r="B60" s="333"/>
      <c r="C60" s="17">
        <v>-20373</v>
      </c>
      <c r="D60" s="17">
        <f>SUM(D49:D59)</f>
        <v>-23631</v>
      </c>
      <c r="E60" s="71">
        <f t="shared" si="37"/>
        <v>0.15991753791783236</v>
      </c>
      <c r="F60" s="72">
        <f t="shared" si="38"/>
        <v>-3258</v>
      </c>
      <c r="G60" s="17">
        <v>-19762</v>
      </c>
      <c r="H60" s="17">
        <f>SUM(H49:H59)</f>
        <v>-16490</v>
      </c>
      <c r="I60" s="71">
        <f t="shared" si="40"/>
        <v>-0.16557028640825833</v>
      </c>
      <c r="J60" s="72">
        <f t="shared" si="41"/>
        <v>3272</v>
      </c>
      <c r="K60" s="17">
        <v>8565</v>
      </c>
      <c r="L60" s="17"/>
      <c r="M60" s="71">
        <f t="shared" si="42"/>
        <v>-1</v>
      </c>
      <c r="N60" s="72">
        <f t="shared" si="43"/>
        <v>-8565</v>
      </c>
      <c r="O60" s="17">
        <v>-11734</v>
      </c>
      <c r="P60" s="17"/>
      <c r="Q60" s="71">
        <f t="shared" si="44"/>
        <v>-1</v>
      </c>
      <c r="R60" s="72">
        <f t="shared" si="45"/>
        <v>11734</v>
      </c>
      <c r="S60" s="17">
        <f>SUM(S49:S59)</f>
        <v>-40135</v>
      </c>
      <c r="T60" s="17">
        <f>SUM(T49:T59)</f>
        <v>-40121</v>
      </c>
      <c r="U60" s="71">
        <f t="shared" si="47"/>
        <v>-3.4882272330882813E-4</v>
      </c>
      <c r="V60" s="72">
        <f t="shared" si="48"/>
        <v>14</v>
      </c>
      <c r="W60"/>
      <c r="X60" s="341"/>
      <c r="Y60"/>
    </row>
    <row r="61" spans="1:27" ht="15.75" customHeight="1" thickBot="1">
      <c r="A61" s="334"/>
      <c r="B61" s="335" t="s">
        <v>609</v>
      </c>
      <c r="C61" s="20">
        <v>-12824</v>
      </c>
      <c r="D61" s="20">
        <f>SUM(D60,D47,D36)</f>
        <v>-31275</v>
      </c>
      <c r="E61" s="73">
        <f t="shared" si="37"/>
        <v>1.4387866500311914</v>
      </c>
      <c r="F61" s="74">
        <f t="shared" si="38"/>
        <v>-18451</v>
      </c>
      <c r="G61" s="20">
        <v>-18389</v>
      </c>
      <c r="H61" s="20">
        <f>SUM(H60,H47,H36)</f>
        <v>-22500</v>
      </c>
      <c r="I61" s="73">
        <f t="shared" si="40"/>
        <v>0.22355756158573059</v>
      </c>
      <c r="J61" s="74">
        <f t="shared" si="41"/>
        <v>-4111</v>
      </c>
      <c r="K61" s="20">
        <v>30187</v>
      </c>
      <c r="L61" s="20"/>
      <c r="M61" s="73">
        <f t="shared" si="42"/>
        <v>-1</v>
      </c>
      <c r="N61" s="74">
        <f t="shared" si="43"/>
        <v>-30187</v>
      </c>
      <c r="O61" s="20">
        <v>-4213</v>
      </c>
      <c r="P61" s="20"/>
      <c r="Q61" s="73">
        <f t="shared" si="44"/>
        <v>-1</v>
      </c>
      <c r="R61" s="74">
        <f t="shared" si="45"/>
        <v>4213</v>
      </c>
      <c r="S61" s="20">
        <f>S60+S47+S36</f>
        <v>-31213</v>
      </c>
      <c r="T61" s="20">
        <f>T60+T47+T36</f>
        <v>-53775</v>
      </c>
      <c r="U61" s="73">
        <f t="shared" si="47"/>
        <v>0.72283984237337018</v>
      </c>
      <c r="V61" s="74">
        <f t="shared" si="48"/>
        <v>-22562</v>
      </c>
      <c r="W61"/>
      <c r="X61" s="341"/>
      <c r="Y61"/>
    </row>
    <row r="62" spans="1:27" ht="15.75" customHeight="1">
      <c r="A62" s="326"/>
      <c r="B62" s="327"/>
      <c r="C62" s="16"/>
      <c r="D62" s="16"/>
      <c r="E62" s="57"/>
      <c r="F62" s="58"/>
      <c r="G62" s="25"/>
      <c r="H62" s="16"/>
      <c r="I62" s="57"/>
      <c r="J62" s="58"/>
      <c r="K62" s="25"/>
      <c r="L62" s="16"/>
      <c r="M62" s="57"/>
      <c r="N62" s="58"/>
      <c r="O62" s="25"/>
      <c r="P62" s="16"/>
      <c r="Q62" s="57"/>
      <c r="R62" s="58"/>
      <c r="S62" s="25"/>
      <c r="T62" s="25"/>
      <c r="U62" s="57"/>
      <c r="V62" s="58"/>
      <c r="W62"/>
      <c r="X62" s="341"/>
      <c r="Y62"/>
    </row>
    <row r="63" spans="1:27" ht="15.75" customHeight="1">
      <c r="A63" s="326"/>
      <c r="B63" s="3" t="s">
        <v>610</v>
      </c>
      <c r="C63" s="28">
        <v>125152</v>
      </c>
      <c r="D63" s="304">
        <v>119913</v>
      </c>
      <c r="E63" s="75">
        <f>IFERROR(D63/C63-1,"")</f>
        <v>-4.1861096906162132E-2</v>
      </c>
      <c r="F63" s="96">
        <f>D63-C63</f>
        <v>-5239</v>
      </c>
      <c r="G63" s="95">
        <f>C65</f>
        <v>112328</v>
      </c>
      <c r="H63" s="304">
        <f>D65</f>
        <v>88638</v>
      </c>
      <c r="I63" s="75">
        <f>IFERROR(H63/G63-1,"")</f>
        <v>-0.21090022078199555</v>
      </c>
      <c r="J63" s="96">
        <f>H63-G63</f>
        <v>-23690</v>
      </c>
      <c r="K63" s="95">
        <v>93939</v>
      </c>
      <c r="L63" s="304"/>
      <c r="M63" s="75">
        <f>IFERROR(L63/K63-1,"")</f>
        <v>-1</v>
      </c>
      <c r="N63" s="96">
        <f>L63-K63</f>
        <v>-93939</v>
      </c>
      <c r="O63" s="95">
        <v>124126</v>
      </c>
      <c r="P63" s="304"/>
      <c r="Q63" s="75">
        <f>IFERROR(P63/O63-1,"")</f>
        <v>-1</v>
      </c>
      <c r="R63" s="96">
        <f>P63-O63</f>
        <v>-124126</v>
      </c>
      <c r="S63" s="100">
        <f>C63</f>
        <v>125152</v>
      </c>
      <c r="T63" s="95">
        <f>D63</f>
        <v>119913</v>
      </c>
      <c r="U63" s="75">
        <f>IFERROR(T63/S63-1,"")</f>
        <v>-4.1861096906162132E-2</v>
      </c>
      <c r="V63" s="96">
        <f>T63-S63</f>
        <v>-5239</v>
      </c>
      <c r="W63"/>
      <c r="X63" s="341"/>
      <c r="Y63"/>
      <c r="AA63" s="395" t="s">
        <v>390</v>
      </c>
    </row>
    <row r="64" spans="1:27" ht="15.75" customHeight="1">
      <c r="A64" s="326"/>
      <c r="B64" s="327"/>
      <c r="C64" s="16"/>
      <c r="D64" s="16"/>
      <c r="E64" s="57"/>
      <c r="F64" s="58"/>
      <c r="G64" s="24"/>
      <c r="H64" s="16"/>
      <c r="I64" s="57"/>
      <c r="J64" s="58"/>
      <c r="K64" s="24"/>
      <c r="L64" s="16"/>
      <c r="M64" s="57"/>
      <c r="N64" s="58"/>
      <c r="O64" s="24"/>
      <c r="P64" s="16"/>
      <c r="Q64" s="57"/>
      <c r="R64" s="58"/>
      <c r="S64" s="24"/>
      <c r="T64" s="24"/>
      <c r="U64" s="57"/>
      <c r="V64" s="58"/>
      <c r="X64" s="341"/>
    </row>
    <row r="65" spans="1:24" ht="15.75" customHeight="1" thickBot="1">
      <c r="A65" s="330"/>
      <c r="B65" s="331" t="s">
        <v>611</v>
      </c>
      <c r="C65" s="21">
        <v>112328</v>
      </c>
      <c r="D65" s="21">
        <f>SUM(D61,D63)</f>
        <v>88638</v>
      </c>
      <c r="E65" s="76">
        <f>IFERROR(D65/C65-1,"")</f>
        <v>-0.21090022078199555</v>
      </c>
      <c r="F65" s="98">
        <f>D65-C65</f>
        <v>-23690</v>
      </c>
      <c r="G65" s="21">
        <v>93939</v>
      </c>
      <c r="H65" s="21">
        <f>SUM(H61,H63)</f>
        <v>66138</v>
      </c>
      <c r="I65" s="76">
        <f>IFERROR(H65/G65-1,"")</f>
        <v>-0.29594737010187466</v>
      </c>
      <c r="J65" s="98">
        <f>H65-G65</f>
        <v>-27801</v>
      </c>
      <c r="K65" s="21">
        <v>124126</v>
      </c>
      <c r="L65" s="21"/>
      <c r="M65" s="76">
        <f>IFERROR(L65/K65-1,"")</f>
        <v>-1</v>
      </c>
      <c r="N65" s="98">
        <f>L65-K65</f>
        <v>-124126</v>
      </c>
      <c r="O65" s="21">
        <v>119913</v>
      </c>
      <c r="P65" s="21"/>
      <c r="Q65" s="76">
        <f>IFERROR(P65/O65-1,"")</f>
        <v>-1</v>
      </c>
      <c r="R65" s="98">
        <f>P65-O65</f>
        <v>-119913</v>
      </c>
      <c r="S65" s="21">
        <f>SUM(S61:S64)</f>
        <v>93939</v>
      </c>
      <c r="T65" s="21">
        <f>SUM(T61:T64)</f>
        <v>66138</v>
      </c>
      <c r="U65" s="76">
        <f>IFERROR(T65/S65-1,"")</f>
        <v>-0.29594737010187466</v>
      </c>
      <c r="V65" s="98">
        <f>T65-S65</f>
        <v>-27801</v>
      </c>
      <c r="X65" s="341"/>
    </row>
    <row r="66" spans="1:24" ht="15.75" customHeight="1">
      <c r="C66" s="89"/>
      <c r="D66" s="89"/>
      <c r="S66" s="38"/>
    </row>
    <row r="67" spans="1:24" ht="15.75" hidden="1" customHeight="1"/>
    <row r="68" spans="1:24" ht="12" hidden="1">
      <c r="A68" s="36" t="s">
        <v>55</v>
      </c>
      <c r="B68" s="36"/>
      <c r="C68" s="36"/>
      <c r="D68" s="36"/>
      <c r="E68" s="101"/>
      <c r="F68" s="101"/>
      <c r="G68" s="36"/>
      <c r="H68" s="36"/>
      <c r="I68" s="278" t="str">
        <f>G2</f>
        <v>2T24</v>
      </c>
      <c r="J68" s="279" t="str">
        <f>H2</f>
        <v>2T25</v>
      </c>
      <c r="K68" s="36"/>
      <c r="L68" s="36"/>
      <c r="M68" s="278"/>
      <c r="N68" s="279"/>
      <c r="O68" s="36"/>
      <c r="P68" s="36"/>
      <c r="Q68" s="278"/>
      <c r="R68" s="279"/>
      <c r="S68" s="36"/>
      <c r="T68" s="36"/>
      <c r="U68" s="278">
        <f>S2</f>
        <v>2024</v>
      </c>
      <c r="V68" s="279">
        <f>T2</f>
        <v>2025</v>
      </c>
    </row>
    <row r="69" spans="1:24" ht="12" hidden="1">
      <c r="A69" s="36" t="s">
        <v>56</v>
      </c>
      <c r="B69" s="36"/>
      <c r="C69" s="37">
        <v>-5697</v>
      </c>
      <c r="D69" s="37">
        <v>5777</v>
      </c>
      <c r="E69" s="271">
        <f>C69/1000</f>
        <v>-5.6970000000000001</v>
      </c>
      <c r="F69" s="271">
        <f>D69/1000</f>
        <v>5.7770000000000001</v>
      </c>
      <c r="G69" s="37"/>
      <c r="H69" s="37"/>
      <c r="I69" s="274">
        <f>G69/10^3</f>
        <v>0</v>
      </c>
      <c r="J69" s="275">
        <f>H69/10^3</f>
        <v>0</v>
      </c>
      <c r="K69" s="37"/>
      <c r="L69" s="37"/>
      <c r="M69" s="274"/>
      <c r="N69" s="275"/>
      <c r="O69" s="37"/>
      <c r="P69" s="37"/>
      <c r="Q69" s="274"/>
      <c r="R69" s="275"/>
      <c r="S69" s="37">
        <v>-5697</v>
      </c>
      <c r="T69" s="37">
        <f>T4</f>
        <v>28498</v>
      </c>
      <c r="U69" s="274">
        <f>S69/10^3</f>
        <v>-5.6970000000000001</v>
      </c>
      <c r="V69" s="275">
        <f>T69/10^3</f>
        <v>28.498000000000001</v>
      </c>
    </row>
    <row r="70" spans="1:24" ht="12" hidden="1">
      <c r="A70" s="36" t="s">
        <v>57</v>
      </c>
      <c r="B70" s="36"/>
      <c r="C70" s="37">
        <v>20270</v>
      </c>
      <c r="D70" s="37">
        <v>9491</v>
      </c>
      <c r="E70" s="271">
        <f t="shared" ref="E70:E76" si="49">C70/1000</f>
        <v>20.27</v>
      </c>
      <c r="F70" s="271">
        <f t="shared" ref="F70:F76" si="50">D70/1000</f>
        <v>9.4909999999999997</v>
      </c>
      <c r="G70" s="37"/>
      <c r="H70" s="37"/>
      <c r="I70" s="274">
        <f t="shared" ref="I70:I76" si="51">G70/10^3</f>
        <v>0</v>
      </c>
      <c r="J70" s="275">
        <f t="shared" ref="J70:J76" si="52">H70/10^3</f>
        <v>0</v>
      </c>
      <c r="K70" s="37"/>
      <c r="L70" s="37"/>
      <c r="M70" s="274"/>
      <c r="N70" s="275"/>
      <c r="O70" s="37"/>
      <c r="P70" s="37"/>
      <c r="Q70" s="274"/>
      <c r="R70" s="275"/>
      <c r="S70" s="37">
        <v>20270</v>
      </c>
      <c r="T70" s="37">
        <f>SUM(T6:T22)</f>
        <v>29881</v>
      </c>
      <c r="U70" s="274">
        <f t="shared" ref="U70:U76" si="53">S70/10^3</f>
        <v>20.27</v>
      </c>
      <c r="V70" s="275">
        <f t="shared" ref="V70:V76" si="54">T70/10^3</f>
        <v>29.881</v>
      </c>
    </row>
    <row r="71" spans="1:24" ht="12" hidden="1">
      <c r="A71" s="36" t="s">
        <v>58</v>
      </c>
      <c r="B71" s="36"/>
      <c r="C71" s="37">
        <v>-12276</v>
      </c>
      <c r="D71" s="37">
        <v>6215</v>
      </c>
      <c r="E71" s="271">
        <f t="shared" si="49"/>
        <v>-12.276</v>
      </c>
      <c r="F71" s="271">
        <f t="shared" si="50"/>
        <v>6.2149999999999999</v>
      </c>
      <c r="G71" s="37"/>
      <c r="H71" s="37"/>
      <c r="I71" s="274">
        <f t="shared" si="51"/>
        <v>0</v>
      </c>
      <c r="J71" s="275">
        <f t="shared" si="52"/>
        <v>0</v>
      </c>
      <c r="K71" s="37"/>
      <c r="L71" s="37"/>
      <c r="M71" s="274"/>
      <c r="N71" s="275"/>
      <c r="O71" s="37"/>
      <c r="P71" s="37"/>
      <c r="Q71" s="274"/>
      <c r="R71" s="275"/>
      <c r="S71" s="37">
        <v>-12276</v>
      </c>
      <c r="T71" s="37">
        <f>SUM(T25:T35)</f>
        <v>-66005</v>
      </c>
      <c r="U71" s="274">
        <f t="shared" si="53"/>
        <v>-12.276</v>
      </c>
      <c r="V71" s="275">
        <f t="shared" si="54"/>
        <v>-66.004999999999995</v>
      </c>
    </row>
    <row r="72" spans="1:24" ht="12" hidden="1">
      <c r="A72" s="36" t="s">
        <v>59</v>
      </c>
      <c r="B72" s="36"/>
      <c r="C72" s="37">
        <v>-976</v>
      </c>
      <c r="D72" s="37">
        <v>-2714</v>
      </c>
      <c r="E72" s="271">
        <f t="shared" si="49"/>
        <v>-0.97599999999999998</v>
      </c>
      <c r="F72" s="271">
        <f t="shared" si="50"/>
        <v>-2.714</v>
      </c>
      <c r="G72" s="37"/>
      <c r="H72" s="37"/>
      <c r="I72" s="274">
        <f t="shared" si="51"/>
        <v>0</v>
      </c>
      <c r="J72" s="275">
        <f t="shared" si="52"/>
        <v>0</v>
      </c>
      <c r="K72" s="37"/>
      <c r="L72" s="37"/>
      <c r="M72" s="274"/>
      <c r="N72" s="275"/>
      <c r="O72" s="37"/>
      <c r="P72" s="37"/>
      <c r="Q72" s="274"/>
      <c r="R72" s="275"/>
      <c r="S72" s="37">
        <v>-976</v>
      </c>
      <c r="T72" s="37">
        <f>T47</f>
        <v>-6028</v>
      </c>
      <c r="U72" s="274">
        <f t="shared" si="53"/>
        <v>-0.97599999999999998</v>
      </c>
      <c r="V72" s="275">
        <f t="shared" si="54"/>
        <v>-6.0279999999999996</v>
      </c>
    </row>
    <row r="73" spans="1:24" ht="12" hidden="1">
      <c r="A73" s="36" t="s">
        <v>60</v>
      </c>
      <c r="B73" s="36"/>
      <c r="C73" s="37">
        <v>-10875</v>
      </c>
      <c r="D73" s="37">
        <v>-22089</v>
      </c>
      <c r="E73" s="271">
        <f t="shared" si="49"/>
        <v>-10.875</v>
      </c>
      <c r="F73" s="271">
        <f t="shared" si="50"/>
        <v>-22.088999999999999</v>
      </c>
      <c r="G73" s="37"/>
      <c r="H73" s="37"/>
      <c r="I73" s="274">
        <f t="shared" si="51"/>
        <v>0</v>
      </c>
      <c r="J73" s="275">
        <f t="shared" si="52"/>
        <v>0</v>
      </c>
      <c r="K73" s="37"/>
      <c r="L73" s="37"/>
      <c r="M73" s="274"/>
      <c r="N73" s="275"/>
      <c r="O73" s="37"/>
      <c r="P73" s="37"/>
      <c r="Q73" s="274"/>
      <c r="R73" s="275"/>
      <c r="S73" s="37">
        <v>-10875</v>
      </c>
      <c r="T73" s="37">
        <f>SUM(T48:T58)</f>
        <v>-41305</v>
      </c>
      <c r="U73" s="274">
        <f t="shared" si="53"/>
        <v>-10.875</v>
      </c>
      <c r="V73" s="275">
        <f t="shared" si="54"/>
        <v>-41.305</v>
      </c>
    </row>
    <row r="74" spans="1:24" ht="12" hidden="1">
      <c r="A74" s="36" t="s">
        <v>61</v>
      </c>
      <c r="B74" s="36"/>
      <c r="C74" s="37">
        <v>-9554</v>
      </c>
      <c r="D74" s="37">
        <v>-3320</v>
      </c>
      <c r="E74" s="271">
        <f t="shared" si="49"/>
        <v>-9.5540000000000003</v>
      </c>
      <c r="F74" s="271">
        <f t="shared" si="50"/>
        <v>-3.32</v>
      </c>
      <c r="G74" s="37"/>
      <c r="H74" s="37"/>
      <c r="I74" s="274">
        <f t="shared" si="51"/>
        <v>0</v>
      </c>
      <c r="J74" s="275">
        <f t="shared" si="52"/>
        <v>0</v>
      </c>
      <c r="K74" s="37"/>
      <c r="L74" s="37"/>
      <c r="M74" s="274"/>
      <c r="N74" s="275"/>
      <c r="O74" s="37"/>
      <c r="P74" s="37"/>
      <c r="Q74" s="274"/>
      <c r="R74" s="275"/>
      <c r="S74" s="37">
        <v>-9554</v>
      </c>
      <c r="T74" s="37">
        <f>SUM(T69:T73)</f>
        <v>-54959</v>
      </c>
      <c r="U74" s="274">
        <f t="shared" si="53"/>
        <v>-9.5540000000000003</v>
      </c>
      <c r="V74" s="275">
        <f t="shared" si="54"/>
        <v>-54.959000000000003</v>
      </c>
    </row>
    <row r="75" spans="1:24" ht="12" hidden="1">
      <c r="A75" s="36" t="s">
        <v>62</v>
      </c>
      <c r="B75" s="36"/>
      <c r="C75" s="37">
        <v>89633</v>
      </c>
      <c r="D75" s="37">
        <v>98325</v>
      </c>
      <c r="E75" s="271">
        <f t="shared" si="49"/>
        <v>89.632999999999996</v>
      </c>
      <c r="F75" s="271">
        <f t="shared" si="50"/>
        <v>98.325000000000003</v>
      </c>
      <c r="G75" s="37"/>
      <c r="H75" s="37"/>
      <c r="I75" s="274">
        <f t="shared" si="51"/>
        <v>0</v>
      </c>
      <c r="J75" s="275">
        <f t="shared" si="52"/>
        <v>0</v>
      </c>
      <c r="K75" s="37"/>
      <c r="L75" s="37"/>
      <c r="M75" s="274"/>
      <c r="N75" s="275"/>
      <c r="O75" s="37"/>
      <c r="P75" s="37"/>
      <c r="Q75" s="274"/>
      <c r="R75" s="275"/>
      <c r="S75" s="37">
        <v>89633</v>
      </c>
      <c r="T75" s="37">
        <f>T63</f>
        <v>119913</v>
      </c>
      <c r="U75" s="274">
        <f t="shared" si="53"/>
        <v>89.632999999999996</v>
      </c>
      <c r="V75" s="275">
        <f t="shared" si="54"/>
        <v>119.913</v>
      </c>
    </row>
    <row r="76" spans="1:24" ht="12" hidden="1">
      <c r="A76" s="36" t="s">
        <v>63</v>
      </c>
      <c r="B76" s="36"/>
      <c r="C76" s="37">
        <v>80079</v>
      </c>
      <c r="D76" s="37">
        <v>95005</v>
      </c>
      <c r="E76" s="271">
        <f t="shared" si="49"/>
        <v>80.078999999999994</v>
      </c>
      <c r="F76" s="271">
        <f t="shared" si="50"/>
        <v>95.004999999999995</v>
      </c>
      <c r="G76" s="37"/>
      <c r="H76" s="37"/>
      <c r="I76" s="276">
        <f t="shared" si="51"/>
        <v>0</v>
      </c>
      <c r="J76" s="277">
        <f t="shared" si="52"/>
        <v>0</v>
      </c>
      <c r="K76" s="37"/>
      <c r="L76" s="37"/>
      <c r="M76" s="276"/>
      <c r="N76" s="277"/>
      <c r="O76" s="37"/>
      <c r="P76" s="37"/>
      <c r="Q76" s="276"/>
      <c r="R76" s="277"/>
      <c r="S76" s="37">
        <v>80079</v>
      </c>
      <c r="T76" s="37">
        <f>T74+T75</f>
        <v>64954</v>
      </c>
      <c r="U76" s="276">
        <f t="shared" si="53"/>
        <v>80.078999999999994</v>
      </c>
      <c r="V76" s="277">
        <f t="shared" si="54"/>
        <v>64.953999999999994</v>
      </c>
    </row>
    <row r="77" spans="1:24" ht="12" hidden="1">
      <c r="A77" s="11"/>
      <c r="B77" s="11"/>
      <c r="C77" s="88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8"/>
      <c r="T77" s="11"/>
      <c r="U77" s="78"/>
      <c r="V77" s="78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8"/>
      <c r="V78" s="78"/>
    </row>
    <row r="79" spans="1:24" ht="12" hidden="1">
      <c r="A79" s="11" t="s">
        <v>64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8"/>
      <c r="T79" s="11"/>
      <c r="U79" s="78"/>
      <c r="V79" s="78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8"/>
      <c r="V80" s="78"/>
    </row>
    <row r="81" spans="1:22" ht="12" hidden="1">
      <c r="A81" s="6" t="s">
        <v>65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8"/>
      <c r="V81" s="78"/>
    </row>
    <row r="82" spans="1:22" ht="12" hidden="1">
      <c r="A82" s="6" t="s">
        <v>66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8"/>
      <c r="T82" s="11"/>
      <c r="U82" s="78"/>
      <c r="V82" s="78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8"/>
      <c r="V83" s="78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8"/>
      <c r="V84" s="78"/>
    </row>
    <row r="85" spans="1:22" ht="12" hidden="1">
      <c r="A85" s="11" t="s">
        <v>68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8"/>
      <c r="V85" s="78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67</v>
      </c>
      <c r="C88" s="38">
        <v>-1645</v>
      </c>
      <c r="D88" s="38"/>
      <c r="E88" s="39">
        <f>D88/C88-1</f>
        <v>-1</v>
      </c>
      <c r="F88" s="11"/>
      <c r="G88" s="11"/>
      <c r="H88" s="38"/>
      <c r="I88" s="39" t="e">
        <f>H88/G88-1</f>
        <v>#DIV/0!</v>
      </c>
      <c r="J88" s="11"/>
      <c r="K88" s="11"/>
      <c r="L88" s="38"/>
      <c r="M88" s="39"/>
      <c r="N88" s="11"/>
      <c r="O88" s="11"/>
      <c r="P88" s="38"/>
      <c r="Q88" s="39"/>
      <c r="R88" s="11"/>
      <c r="S88" s="11">
        <v>-1645</v>
      </c>
      <c r="T88" s="38"/>
      <c r="U88" s="79"/>
      <c r="V88" s="78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5"/>
      <c r="D96" s="306"/>
      <c r="E96" s="307"/>
      <c r="F96" s="307"/>
      <c r="G96" s="306"/>
      <c r="H96" s="306"/>
      <c r="I96" s="307"/>
      <c r="J96" s="307"/>
      <c r="K96" s="306"/>
      <c r="L96" s="306"/>
      <c r="M96" s="307"/>
      <c r="N96" s="307"/>
      <c r="O96" s="306"/>
      <c r="P96" s="306"/>
      <c r="Q96" s="307"/>
      <c r="R96" s="307"/>
      <c r="S96" s="48"/>
      <c r="T96" s="48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sheetPr codeName="Planilha1"/>
  <dimension ref="A1:Q53"/>
  <sheetViews>
    <sheetView zoomScale="99" zoomScaleNormal="99" workbookViewId="0">
      <selection activeCell="A3" sqref="A3:A53"/>
    </sheetView>
  </sheetViews>
  <sheetFormatPr defaultColWidth="9.109375" defaultRowHeight="14.4"/>
  <cols>
    <col min="1" max="1" width="41.5546875" style="4" bestFit="1" customWidth="1"/>
    <col min="2" max="2" width="32.88671875" style="4" bestFit="1" customWidth="1"/>
    <col min="3" max="3" width="11.44140625" style="4" customWidth="1"/>
    <col min="4" max="4" width="10.88671875" style="4" customWidth="1"/>
    <col min="5" max="5" width="11.88671875" style="4" customWidth="1"/>
    <col min="6" max="6" width="11" style="4" customWidth="1"/>
    <col min="7" max="7" width="11.109375" style="4" customWidth="1"/>
    <col min="8" max="8" width="11.44140625" style="4" customWidth="1"/>
    <col min="9" max="10" width="11.109375" style="4" customWidth="1"/>
    <col min="11" max="11" width="11.5546875" style="4" customWidth="1"/>
    <col min="12" max="13" width="11.109375" style="4" customWidth="1"/>
    <col min="14" max="14" width="12.6640625" customWidth="1"/>
    <col min="15" max="15" width="12.109375" customWidth="1"/>
    <col min="16" max="16" width="11.33203125" customWidth="1"/>
    <col min="17" max="17" width="11.44140625" bestFit="1" customWidth="1"/>
  </cols>
  <sheetData>
    <row r="1" spans="1:17" ht="119.25" customHeight="1" thickBot="1"/>
    <row r="2" spans="1:17" ht="15.75" customHeight="1" thickBot="1">
      <c r="A2" s="323" t="s">
        <v>318</v>
      </c>
      <c r="B2" s="324"/>
      <c r="C2" s="356">
        <v>2011</v>
      </c>
      <c r="D2" s="356">
        <v>2012</v>
      </c>
      <c r="E2" s="356">
        <v>2013</v>
      </c>
      <c r="F2" s="356">
        <v>2014</v>
      </c>
      <c r="G2" s="356">
        <v>2015</v>
      </c>
      <c r="H2" s="356">
        <v>2016</v>
      </c>
      <c r="I2" s="356">
        <v>2017</v>
      </c>
      <c r="J2" s="356">
        <v>2018</v>
      </c>
      <c r="K2" s="356">
        <v>2019</v>
      </c>
      <c r="L2" s="356">
        <v>2020</v>
      </c>
      <c r="M2" s="356">
        <v>2021</v>
      </c>
      <c r="N2" s="1">
        <v>2022</v>
      </c>
      <c r="O2" s="1">
        <v>2023</v>
      </c>
      <c r="P2" s="1">
        <v>2024</v>
      </c>
    </row>
    <row r="3" spans="1:17" ht="15.75" customHeight="1">
      <c r="A3" s="325" t="s">
        <v>470</v>
      </c>
      <c r="B3" s="309"/>
      <c r="C3" s="357">
        <v>319857</v>
      </c>
      <c r="D3" s="358">
        <v>377133</v>
      </c>
      <c r="E3" s="358">
        <v>522864.00000000006</v>
      </c>
      <c r="F3" s="359">
        <v>501556</v>
      </c>
      <c r="G3" s="359">
        <v>491434</v>
      </c>
      <c r="H3" s="360">
        <v>443621.99999999994</v>
      </c>
      <c r="I3" s="359">
        <v>412361</v>
      </c>
      <c r="J3" s="359">
        <v>363499.73664000002</v>
      </c>
      <c r="K3" s="359">
        <v>378366.44312000007</v>
      </c>
      <c r="L3" s="359">
        <v>285105.17800999974</v>
      </c>
      <c r="M3" s="380">
        <v>350920.30887999985</v>
      </c>
      <c r="N3" s="380">
        <v>400492.21608000016</v>
      </c>
      <c r="O3" s="380">
        <v>395830.8989400001</v>
      </c>
      <c r="P3" s="380">
        <v>464305.99811000022</v>
      </c>
    </row>
    <row r="4" spans="1:17" ht="15.75" customHeight="1">
      <c r="A4" s="327" t="s">
        <v>471</v>
      </c>
      <c r="B4" s="327"/>
      <c r="C4" s="361">
        <v>-11633</v>
      </c>
      <c r="D4" s="361">
        <v>-9958.2513770875557</v>
      </c>
      <c r="E4" s="361">
        <v>-14437.999999999904</v>
      </c>
      <c r="F4" s="23">
        <v>-17795</v>
      </c>
      <c r="G4" s="23">
        <v>-22046</v>
      </c>
      <c r="H4" s="361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</row>
    <row r="5" spans="1:17" ht="15.75" customHeight="1">
      <c r="A5" s="326" t="s">
        <v>472</v>
      </c>
      <c r="B5" s="327"/>
      <c r="C5" s="360">
        <v>-47935</v>
      </c>
      <c r="D5" s="360">
        <v>-55935.611050000007</v>
      </c>
      <c r="E5" s="360">
        <v>-76839</v>
      </c>
      <c r="F5" s="359">
        <v>-72963</v>
      </c>
      <c r="G5" s="359">
        <v>-75586</v>
      </c>
      <c r="H5" s="360">
        <v>-65951.316800000001</v>
      </c>
      <c r="I5" s="359">
        <v>-61605</v>
      </c>
      <c r="J5" s="359">
        <v>-51514.476329999998</v>
      </c>
      <c r="K5" s="359">
        <v>-55731.880619999996</v>
      </c>
      <c r="L5" s="359">
        <v>-36955.979920000027</v>
      </c>
      <c r="M5" s="359">
        <v>-31144.227900000031</v>
      </c>
      <c r="N5" s="359">
        <v>-35852.520007156549</v>
      </c>
      <c r="O5" s="359">
        <v>-39207.958490926401</v>
      </c>
      <c r="P5" s="359">
        <v>-49932.785479999962</v>
      </c>
    </row>
    <row r="6" spans="1:17" ht="15.75" customHeight="1">
      <c r="A6" s="327" t="s">
        <v>473</v>
      </c>
      <c r="B6" s="327"/>
      <c r="C6" s="361">
        <v>1741</v>
      </c>
      <c r="D6" s="362">
        <v>1476</v>
      </c>
      <c r="E6" s="362">
        <v>2108.8207414252761</v>
      </c>
      <c r="F6" s="23">
        <v>2635</v>
      </c>
      <c r="G6" s="23">
        <v>3491</v>
      </c>
      <c r="H6" s="362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</row>
    <row r="7" spans="1:17" ht="15.75" customHeight="1">
      <c r="A7" s="326"/>
      <c r="B7" s="327"/>
      <c r="C7" s="363"/>
      <c r="D7" s="362"/>
      <c r="E7" s="362"/>
      <c r="F7" s="364"/>
      <c r="G7" s="364"/>
      <c r="H7" s="362"/>
      <c r="I7" s="364"/>
      <c r="J7" s="364"/>
      <c r="K7" s="26"/>
      <c r="L7" s="26"/>
      <c r="M7" s="26"/>
      <c r="N7" s="24"/>
      <c r="O7" s="24"/>
      <c r="P7" s="24"/>
    </row>
    <row r="8" spans="1:17" ht="15.75" customHeight="1">
      <c r="A8" s="310" t="s">
        <v>474</v>
      </c>
      <c r="B8" s="311"/>
      <c r="C8" s="365">
        <f>SUM(C3:C6)</f>
        <v>262030</v>
      </c>
      <c r="D8" s="365">
        <f t="shared" ref="D8:L8" si="0">SUM(D3:D6)</f>
        <v>312715.13757291244</v>
      </c>
      <c r="E8" s="365">
        <f t="shared" si="0"/>
        <v>433695.82074142544</v>
      </c>
      <c r="F8" s="365">
        <f t="shared" si="0"/>
        <v>413433</v>
      </c>
      <c r="G8" s="365">
        <f t="shared" si="0"/>
        <v>397293</v>
      </c>
      <c r="H8" s="365">
        <f t="shared" si="0"/>
        <v>360872.97414030397</v>
      </c>
      <c r="I8" s="365">
        <f t="shared" si="0"/>
        <v>340076</v>
      </c>
      <c r="J8" s="365">
        <f t="shared" si="0"/>
        <v>305696.17570524517</v>
      </c>
      <c r="K8" s="365">
        <f t="shared" si="0"/>
        <v>316226.27587170707</v>
      </c>
      <c r="L8" s="365">
        <f t="shared" si="0"/>
        <v>244607.38250886771</v>
      </c>
      <c r="M8" s="365">
        <v>314401.67791416938</v>
      </c>
      <c r="N8" s="8">
        <v>351231.59881359799</v>
      </c>
      <c r="O8" s="8">
        <v>342346.79772007267</v>
      </c>
      <c r="P8" s="8">
        <v>400280.01194263692</v>
      </c>
    </row>
    <row r="9" spans="1:17" ht="15.75" customHeight="1">
      <c r="A9" s="326"/>
      <c r="B9" s="327"/>
      <c r="C9" s="362"/>
      <c r="D9" s="362"/>
      <c r="E9" s="362"/>
      <c r="F9" s="364"/>
      <c r="G9" s="364"/>
      <c r="H9" s="362"/>
      <c r="I9" s="23"/>
      <c r="J9" s="23"/>
      <c r="K9" s="23"/>
      <c r="L9" s="23"/>
      <c r="M9" s="23"/>
      <c r="N9" s="23"/>
      <c r="O9" s="23"/>
      <c r="P9" s="23"/>
    </row>
    <row r="10" spans="1:17" ht="15.75" customHeight="1">
      <c r="A10" s="310" t="s">
        <v>475</v>
      </c>
      <c r="B10" s="311"/>
      <c r="C10" s="366">
        <v>166166</v>
      </c>
      <c r="D10" s="366">
        <v>187928</v>
      </c>
      <c r="E10" s="366">
        <v>250774</v>
      </c>
      <c r="F10" s="8">
        <v>229802</v>
      </c>
      <c r="G10" s="8">
        <v>206778</v>
      </c>
      <c r="H10" s="366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  <c r="P10" s="8">
        <v>218850.22727103916</v>
      </c>
    </row>
    <row r="11" spans="1:17" ht="15.75" customHeight="1">
      <c r="A11" s="312" t="s">
        <v>476</v>
      </c>
      <c r="B11" s="312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  <c r="P11" s="9">
        <v>0.54674283187141004</v>
      </c>
    </row>
    <row r="12" spans="1:17" ht="15.75" customHeight="1">
      <c r="A12" s="326"/>
      <c r="B12" s="312"/>
      <c r="C12" s="362"/>
      <c r="D12" s="367"/>
      <c r="E12" s="367"/>
      <c r="F12" s="368"/>
      <c r="G12" s="41"/>
      <c r="H12" s="367"/>
      <c r="I12" s="368"/>
      <c r="J12" s="368"/>
      <c r="K12" s="367"/>
      <c r="L12" s="367"/>
      <c r="M12" s="367"/>
      <c r="N12" s="24"/>
      <c r="O12" s="24"/>
      <c r="P12" s="24"/>
    </row>
    <row r="13" spans="1:17" ht="15.75" customHeight="1">
      <c r="A13" s="310" t="s">
        <v>477</v>
      </c>
      <c r="B13" s="311"/>
      <c r="C13" s="366">
        <v>-69788</v>
      </c>
      <c r="D13" s="366">
        <v>-87861</v>
      </c>
      <c r="E13" s="366">
        <v>-132846</v>
      </c>
      <c r="F13" s="8">
        <v>-118936</v>
      </c>
      <c r="G13" s="8">
        <v>-129581</v>
      </c>
      <c r="H13" s="366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382"/>
    </row>
    <row r="14" spans="1:17" ht="15.75" customHeight="1">
      <c r="A14" s="310" t="s">
        <v>478</v>
      </c>
      <c r="B14" s="311"/>
      <c r="C14" s="366"/>
      <c r="D14" s="366"/>
      <c r="E14" s="366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355"/>
    </row>
    <row r="15" spans="1:17" ht="179.4" hidden="1" customHeight="1">
      <c r="A15" s="310" t="s">
        <v>479</v>
      </c>
      <c r="B15" s="311"/>
      <c r="C15" s="366"/>
      <c r="D15" s="366"/>
      <c r="E15" s="366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355"/>
    </row>
    <row r="16" spans="1:17">
      <c r="A16" s="313" t="s">
        <v>480</v>
      </c>
      <c r="B16" s="313"/>
      <c r="C16" s="369">
        <v>-0.2663359157348395</v>
      </c>
      <c r="D16" s="369">
        <v>-0.28096177461033334</v>
      </c>
      <c r="E16" s="369">
        <v>-0.30631145989115816</v>
      </c>
      <c r="F16" s="369">
        <v>-0.28767901933324136</v>
      </c>
      <c r="G16" s="369">
        <v>-0.32615978635415172</v>
      </c>
      <c r="H16" s="369">
        <v>0.34386337823057539</v>
      </c>
      <c r="I16" s="369">
        <f>I13/I8</f>
        <v>-0.39013632246909513</v>
      </c>
      <c r="J16" s="369">
        <v>-0.37142106779077982</v>
      </c>
      <c r="K16" s="369">
        <v>-0.34047592695074708</v>
      </c>
      <c r="L16" s="369">
        <v>-0.32003172435784749</v>
      </c>
      <c r="M16" s="369">
        <v>-0.22330987692491522</v>
      </c>
      <c r="N16" s="10">
        <v>-0.23979903939309011</v>
      </c>
      <c r="O16" s="10">
        <v>-0.25886907834454037</v>
      </c>
      <c r="P16" s="10">
        <v>-0.26378849949952476</v>
      </c>
      <c r="Q16" s="355"/>
    </row>
    <row r="17" spans="1:17">
      <c r="A17" s="326"/>
      <c r="B17" s="327"/>
      <c r="C17" s="362"/>
      <c r="D17" s="362"/>
      <c r="E17" s="362"/>
      <c r="F17" s="364"/>
      <c r="G17" s="42"/>
      <c r="H17" s="25"/>
      <c r="I17" s="364"/>
      <c r="J17" s="364"/>
      <c r="K17" s="25"/>
      <c r="L17" s="25"/>
      <c r="M17" s="25"/>
      <c r="N17" s="24"/>
      <c r="O17" s="23"/>
      <c r="P17" s="23"/>
      <c r="Q17" s="355"/>
    </row>
    <row r="18" spans="1:17">
      <c r="A18" s="310" t="s">
        <v>481</v>
      </c>
      <c r="B18" s="311"/>
      <c r="C18" s="366">
        <v>-24415</v>
      </c>
      <c r="D18" s="366">
        <v>-27788</v>
      </c>
      <c r="E18" s="366">
        <v>-40504</v>
      </c>
      <c r="F18" s="8">
        <v>-33902</v>
      </c>
      <c r="G18" s="8">
        <v>-36416</v>
      </c>
      <c r="H18" s="366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102"/>
    </row>
    <row r="19" spans="1:17">
      <c r="A19" s="313" t="s">
        <v>480</v>
      </c>
      <c r="B19" s="313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  <c r="P19" s="10">
        <v>-0.10116136229300889</v>
      </c>
    </row>
    <row r="20" spans="1:17">
      <c r="A20" s="326"/>
      <c r="B20" s="327"/>
      <c r="C20" s="362"/>
      <c r="D20" s="362"/>
      <c r="E20" s="362"/>
      <c r="F20" s="364"/>
      <c r="G20" s="42"/>
      <c r="H20" s="362"/>
      <c r="I20" s="364"/>
      <c r="J20" s="364"/>
      <c r="K20" s="364"/>
      <c r="L20" s="364"/>
      <c r="M20" s="364"/>
      <c r="N20" s="24"/>
      <c r="O20" s="23"/>
      <c r="P20" s="23"/>
      <c r="Q20" s="102"/>
    </row>
    <row r="21" spans="1:17">
      <c r="A21" s="310" t="s">
        <v>482</v>
      </c>
      <c r="B21" s="311"/>
      <c r="C21" s="366">
        <v>26537</v>
      </c>
      <c r="D21" s="366">
        <v>-7520</v>
      </c>
      <c r="E21" s="366">
        <v>-28934</v>
      </c>
      <c r="F21" s="8">
        <v>-11784</v>
      </c>
      <c r="G21" s="8">
        <v>-9126</v>
      </c>
      <c r="H21" s="366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</row>
    <row r="22" spans="1:17">
      <c r="A22" s="326"/>
      <c r="B22" s="327"/>
      <c r="C22" s="362"/>
      <c r="D22" s="362"/>
      <c r="E22" s="362"/>
      <c r="F22" s="364"/>
      <c r="G22" s="40"/>
      <c r="H22" s="362"/>
      <c r="I22" s="364"/>
      <c r="J22" s="364"/>
      <c r="K22" s="364"/>
      <c r="L22" s="364"/>
      <c r="M22" s="364"/>
      <c r="N22" s="24"/>
      <c r="O22" s="23"/>
      <c r="P22" s="23"/>
    </row>
    <row r="23" spans="1:17">
      <c r="A23" s="326" t="s">
        <v>483</v>
      </c>
      <c r="B23" s="327"/>
      <c r="C23" s="370">
        <f>C10+C13+C18+C21+C14+C15</f>
        <v>98500</v>
      </c>
      <c r="D23" s="370">
        <f t="shared" ref="D23:L23" si="2">D10+D13+D18+D21+D14+D15</f>
        <v>64759</v>
      </c>
      <c r="E23" s="370">
        <f t="shared" si="2"/>
        <v>48490</v>
      </c>
      <c r="F23" s="370">
        <f t="shared" si="2"/>
        <v>65180</v>
      </c>
      <c r="G23" s="370">
        <f t="shared" si="2"/>
        <v>31655</v>
      </c>
      <c r="H23" s="370">
        <f t="shared" si="2"/>
        <v>8544.9741403039661</v>
      </c>
      <c r="I23" s="370">
        <f t="shared" si="2"/>
        <v>-12773.390136322469</v>
      </c>
      <c r="J23" s="370">
        <f t="shared" si="2"/>
        <v>-2901.8242947548279</v>
      </c>
      <c r="K23" s="370">
        <f t="shared" si="2"/>
        <v>-126645</v>
      </c>
      <c r="L23" s="370">
        <f t="shared" si="2"/>
        <v>-9616</v>
      </c>
      <c r="M23" s="370">
        <v>50648.677914169384</v>
      </c>
      <c r="N23" s="23">
        <v>55601.036335421901</v>
      </c>
      <c r="O23" s="23">
        <v>61715.197720072669</v>
      </c>
      <c r="P23" s="23">
        <v>66766.925824260077</v>
      </c>
    </row>
    <row r="24" spans="1:17">
      <c r="A24" s="326"/>
      <c r="B24" s="327"/>
      <c r="C24" s="362"/>
      <c r="D24" s="362"/>
      <c r="E24" s="362"/>
      <c r="F24" s="364"/>
      <c r="G24" s="43"/>
      <c r="H24" s="362"/>
      <c r="I24" s="364"/>
      <c r="J24" s="364"/>
      <c r="K24" s="364"/>
      <c r="L24" s="364"/>
      <c r="M24" s="364"/>
      <c r="N24" s="24"/>
      <c r="O24" s="23"/>
      <c r="P24" s="23"/>
    </row>
    <row r="25" spans="1:17">
      <c r="A25" s="311" t="s">
        <v>484</v>
      </c>
      <c r="B25" s="311"/>
      <c r="C25" s="366">
        <v>-9288</v>
      </c>
      <c r="D25" s="366">
        <v>-3374</v>
      </c>
      <c r="E25" s="366">
        <v>-29310</v>
      </c>
      <c r="F25" s="8">
        <v>-40566</v>
      </c>
      <c r="G25" s="8">
        <v>-58084</v>
      </c>
      <c r="H25" s="366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</row>
    <row r="26" spans="1:17">
      <c r="A26" s="311" t="s">
        <v>485</v>
      </c>
      <c r="B26" s="311"/>
      <c r="C26" s="366">
        <v>16592</v>
      </c>
      <c r="D26" s="366">
        <v>20034</v>
      </c>
      <c r="E26" s="366">
        <v>23764</v>
      </c>
      <c r="F26" s="8">
        <v>30667</v>
      </c>
      <c r="G26" s="8">
        <v>57485</v>
      </c>
      <c r="H26" s="366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</row>
    <row r="27" spans="1:17">
      <c r="A27" s="310" t="s">
        <v>486</v>
      </c>
      <c r="B27" s="311"/>
      <c r="C27" s="366">
        <f>SUM(C25:C26)</f>
        <v>7304</v>
      </c>
      <c r="D27" s="366">
        <f t="shared" ref="D27:L27" si="3">SUM(D25:D26)</f>
        <v>16660</v>
      </c>
      <c r="E27" s="366">
        <f t="shared" si="3"/>
        <v>-5546</v>
      </c>
      <c r="F27" s="366">
        <f t="shared" si="3"/>
        <v>-9899</v>
      </c>
      <c r="G27" s="366">
        <f t="shared" si="3"/>
        <v>-599</v>
      </c>
      <c r="H27" s="366">
        <f t="shared" si="3"/>
        <v>-6690</v>
      </c>
      <c r="I27" s="366">
        <f t="shared" si="3"/>
        <v>-2499</v>
      </c>
      <c r="J27" s="366">
        <f t="shared" si="3"/>
        <v>4249</v>
      </c>
      <c r="K27" s="366">
        <f t="shared" si="3"/>
        <v>-5183</v>
      </c>
      <c r="L27" s="366">
        <f t="shared" si="3"/>
        <v>-24308</v>
      </c>
      <c r="M27" s="366">
        <v>-15031</v>
      </c>
      <c r="N27" s="8">
        <v>-9971</v>
      </c>
      <c r="O27" s="8">
        <v>3516</v>
      </c>
      <c r="P27" s="8">
        <v>18335.982193635977</v>
      </c>
    </row>
    <row r="28" spans="1:17">
      <c r="A28" s="326"/>
      <c r="B28" s="327"/>
      <c r="C28" s="362"/>
      <c r="D28" s="362"/>
      <c r="E28" s="362"/>
      <c r="F28" s="371"/>
      <c r="G28" s="40"/>
      <c r="H28" s="362"/>
      <c r="I28" s="371"/>
      <c r="J28" s="371"/>
      <c r="K28" s="371"/>
      <c r="L28" s="371"/>
      <c r="M28" s="371"/>
      <c r="N28" s="85"/>
      <c r="O28" s="85"/>
      <c r="P28" s="85"/>
    </row>
    <row r="29" spans="1:17">
      <c r="A29" s="326" t="s">
        <v>487</v>
      </c>
      <c r="B29" s="327"/>
      <c r="C29" s="362">
        <f>C23+C27</f>
        <v>105804</v>
      </c>
      <c r="D29" s="362">
        <f t="shared" ref="D29:L29" si="4">D23+D27</f>
        <v>81419</v>
      </c>
      <c r="E29" s="362">
        <f t="shared" si="4"/>
        <v>42944</v>
      </c>
      <c r="F29" s="362">
        <f t="shared" si="4"/>
        <v>55281</v>
      </c>
      <c r="G29" s="362">
        <f t="shared" si="4"/>
        <v>31056</v>
      </c>
      <c r="H29" s="362">
        <f t="shared" si="4"/>
        <v>1854.9741403039661</v>
      </c>
      <c r="I29" s="362">
        <f t="shared" si="4"/>
        <v>-15272.390136322469</v>
      </c>
      <c r="J29" s="362">
        <f t="shared" si="4"/>
        <v>1347.1757052451721</v>
      </c>
      <c r="K29" s="362">
        <f t="shared" si="4"/>
        <v>-131828</v>
      </c>
      <c r="L29" s="362">
        <f t="shared" si="4"/>
        <v>-33924</v>
      </c>
      <c r="M29" s="362">
        <v>35617.677914169384</v>
      </c>
      <c r="N29" s="23">
        <v>45630.036335421901</v>
      </c>
      <c r="O29" s="23">
        <v>65231.197720072669</v>
      </c>
      <c r="P29" s="23">
        <v>85102.908017896058</v>
      </c>
    </row>
    <row r="30" spans="1:17">
      <c r="A30" s="326"/>
      <c r="B30" s="327"/>
      <c r="C30" s="362"/>
      <c r="D30" s="362"/>
      <c r="E30" s="362"/>
      <c r="F30" s="23"/>
      <c r="G30" s="23"/>
      <c r="H30" s="362"/>
      <c r="I30" s="23">
        <v>0</v>
      </c>
      <c r="J30" s="23"/>
      <c r="K30" s="23"/>
      <c r="L30" s="23"/>
      <c r="M30" s="23"/>
      <c r="N30" s="23"/>
      <c r="O30" s="23"/>
      <c r="P30" s="23"/>
    </row>
    <row r="31" spans="1:17">
      <c r="A31" s="327" t="s">
        <v>488</v>
      </c>
      <c r="B31" s="327"/>
      <c r="C31" s="362">
        <v>-5992</v>
      </c>
      <c r="D31" s="362">
        <v>-6459</v>
      </c>
      <c r="E31" s="362">
        <v>-7244</v>
      </c>
      <c r="F31" s="23">
        <v>-7146</v>
      </c>
      <c r="G31" s="23">
        <v>-7223</v>
      </c>
      <c r="H31" s="362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</row>
    <row r="32" spans="1:17">
      <c r="A32" s="327" t="s">
        <v>489</v>
      </c>
      <c r="B32" s="327"/>
      <c r="C32" s="362">
        <v>-10855</v>
      </c>
      <c r="D32" s="362">
        <v>-11196</v>
      </c>
      <c r="E32" s="362">
        <v>-4178</v>
      </c>
      <c r="F32" s="23">
        <v>-1907</v>
      </c>
      <c r="G32" s="23">
        <v>-1818</v>
      </c>
      <c r="H32" s="362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</row>
    <row r="33" spans="1:16">
      <c r="A33" s="310" t="s">
        <v>490</v>
      </c>
      <c r="B33" s="311"/>
      <c r="C33" s="366">
        <f>SUM(C31:C32)</f>
        <v>-16847</v>
      </c>
      <c r="D33" s="366">
        <f t="shared" ref="D33:L33" si="5">SUM(D31:D32)</f>
        <v>-17655</v>
      </c>
      <c r="E33" s="366">
        <f t="shared" si="5"/>
        <v>-11422</v>
      </c>
      <c r="F33" s="366">
        <f t="shared" si="5"/>
        <v>-9053</v>
      </c>
      <c r="G33" s="366">
        <f t="shared" si="5"/>
        <v>-9041</v>
      </c>
      <c r="H33" s="366">
        <f t="shared" si="5"/>
        <v>-3791</v>
      </c>
      <c r="I33" s="366">
        <f t="shared" si="5"/>
        <v>3188</v>
      </c>
      <c r="J33" s="366">
        <f t="shared" si="5"/>
        <v>13022</v>
      </c>
      <c r="K33" s="366">
        <f t="shared" si="5"/>
        <v>9174</v>
      </c>
      <c r="L33" s="366">
        <f t="shared" si="5"/>
        <v>5761</v>
      </c>
      <c r="M33" s="366">
        <v>-7537</v>
      </c>
      <c r="N33" s="8">
        <v>-5707</v>
      </c>
      <c r="O33" s="8">
        <v>-9019</v>
      </c>
      <c r="P33" s="8">
        <v>-20268.479405410995</v>
      </c>
    </row>
    <row r="34" spans="1:16">
      <c r="A34" s="326"/>
      <c r="B34" s="327"/>
      <c r="C34" s="362"/>
      <c r="D34" s="362"/>
      <c r="E34" s="362"/>
      <c r="F34" s="364"/>
      <c r="G34" s="7"/>
      <c r="H34" s="362"/>
      <c r="I34" s="364"/>
      <c r="J34" s="364"/>
      <c r="K34" s="364"/>
      <c r="L34" s="364"/>
      <c r="M34" s="364"/>
      <c r="N34" s="24"/>
      <c r="O34" s="24"/>
      <c r="P34" s="24"/>
    </row>
    <row r="35" spans="1:16">
      <c r="A35" s="310" t="s">
        <v>491</v>
      </c>
      <c r="B35" s="311"/>
      <c r="C35" s="366">
        <f>C29+C33</f>
        <v>88957</v>
      </c>
      <c r="D35" s="366">
        <f t="shared" ref="D35:L35" si="6">D29+D33</f>
        <v>63764</v>
      </c>
      <c r="E35" s="366">
        <f t="shared" si="6"/>
        <v>31522</v>
      </c>
      <c r="F35" s="366">
        <f t="shared" si="6"/>
        <v>46228</v>
      </c>
      <c r="G35" s="366">
        <f t="shared" si="6"/>
        <v>22015</v>
      </c>
      <c r="H35" s="366">
        <f t="shared" si="6"/>
        <v>-1936.0258596960339</v>
      </c>
      <c r="I35" s="366">
        <f t="shared" si="6"/>
        <v>-12084.390136322469</v>
      </c>
      <c r="J35" s="366">
        <f t="shared" si="6"/>
        <v>14369.175705245172</v>
      </c>
      <c r="K35" s="366">
        <f t="shared" si="6"/>
        <v>-122654</v>
      </c>
      <c r="L35" s="366">
        <f t="shared" si="6"/>
        <v>-28163</v>
      </c>
      <c r="M35" s="366">
        <v>28080.677914169384</v>
      </c>
      <c r="N35" s="8">
        <v>39923.036335421901</v>
      </c>
      <c r="O35" s="8">
        <v>56212.197720072669</v>
      </c>
      <c r="P35" s="8">
        <v>64834.428612485062</v>
      </c>
    </row>
    <row r="36" spans="1:16">
      <c r="A36" s="312" t="s">
        <v>492</v>
      </c>
      <c r="B36" s="312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  <c r="P36" s="9">
        <v>0.16197268581518959</v>
      </c>
    </row>
    <row r="37" spans="1:16">
      <c r="A37" s="326"/>
      <c r="B37" s="327"/>
      <c r="C37" s="364"/>
      <c r="D37" s="364"/>
      <c r="E37" s="364"/>
      <c r="F37" s="364"/>
      <c r="G37" s="364"/>
      <c r="H37" s="372"/>
      <c r="I37" s="364"/>
      <c r="J37" s="364"/>
      <c r="K37" s="364"/>
      <c r="L37" s="364"/>
      <c r="M37" s="364"/>
      <c r="N37" s="24"/>
      <c r="O37" s="24"/>
      <c r="P37" s="24"/>
    </row>
    <row r="38" spans="1:16">
      <c r="A38" s="325" t="s">
        <v>493</v>
      </c>
      <c r="B38" s="316"/>
      <c r="C38" s="373">
        <v>-3147</v>
      </c>
      <c r="D38" s="374">
        <v>-5425</v>
      </c>
      <c r="E38" s="374">
        <v>-9599</v>
      </c>
      <c r="F38" s="23">
        <v>-13148.34042</v>
      </c>
      <c r="G38" s="23">
        <v>-14029</v>
      </c>
      <c r="H38" s="374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</row>
    <row r="39" spans="1:16">
      <c r="A39" s="325" t="s">
        <v>494</v>
      </c>
      <c r="B39" s="316"/>
      <c r="C39" s="373">
        <v>7189</v>
      </c>
      <c r="D39" s="374">
        <v>11074</v>
      </c>
      <c r="E39" s="374">
        <v>13116</v>
      </c>
      <c r="F39" s="23">
        <v>16594.183259999998</v>
      </c>
      <c r="G39" s="23">
        <v>39829.427649999998</v>
      </c>
      <c r="H39" s="374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</row>
    <row r="40" spans="1:16">
      <c r="A40" s="325" t="s">
        <v>495</v>
      </c>
      <c r="B40" s="316"/>
      <c r="C40" s="373">
        <v>9403</v>
      </c>
      <c r="D40" s="373">
        <v>8960</v>
      </c>
      <c r="E40" s="373">
        <v>10648.179258574701</v>
      </c>
      <c r="F40" s="23">
        <v>14081.99249759946</v>
      </c>
      <c r="G40" s="23">
        <v>17594.58786</v>
      </c>
      <c r="H40" s="374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</row>
    <row r="41" spans="1:16">
      <c r="A41" s="325" t="s">
        <v>484</v>
      </c>
      <c r="B41" s="316"/>
      <c r="C41" s="373">
        <v>-9288</v>
      </c>
      <c r="D41" s="373">
        <v>-3374</v>
      </c>
      <c r="E41" s="373">
        <v>-29310</v>
      </c>
      <c r="F41" s="23">
        <v>-40568.457139999999</v>
      </c>
      <c r="G41" s="23">
        <v>-58735.880399999995</v>
      </c>
      <c r="H41" s="374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</row>
    <row r="42" spans="1:16">
      <c r="A42" s="325" t="s">
        <v>496</v>
      </c>
      <c r="B42" s="316"/>
      <c r="C42" s="374">
        <v>-2070</v>
      </c>
      <c r="D42" s="375">
        <v>-6459</v>
      </c>
      <c r="E42" s="375">
        <v>-7106.2640999999985</v>
      </c>
      <c r="F42" s="23">
        <v>-7079.9619980000007</v>
      </c>
      <c r="G42" s="23">
        <v>-7222.3714499999996</v>
      </c>
      <c r="H42" s="374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</row>
    <row r="43" spans="1:16">
      <c r="A43" s="325" t="s">
        <v>497</v>
      </c>
      <c r="B43" s="316"/>
      <c r="C43" s="373">
        <v>-10855</v>
      </c>
      <c r="D43" s="373">
        <v>-11196</v>
      </c>
      <c r="E43" s="373">
        <v>-4178</v>
      </c>
      <c r="F43" s="23">
        <v>-1908.3374199999998</v>
      </c>
      <c r="G43" s="23">
        <v>-1818.1681300000002</v>
      </c>
      <c r="H43" s="374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</row>
    <row r="44" spans="1:16">
      <c r="A44" s="310" t="s">
        <v>53</v>
      </c>
      <c r="B44" s="311"/>
      <c r="C44" s="366">
        <f>C35-SUM(C38:C43)</f>
        <v>97725</v>
      </c>
      <c r="D44" s="366">
        <f t="shared" ref="D44:L44" si="7">D35-SUM(D38:D43)</f>
        <v>70184</v>
      </c>
      <c r="E44" s="366">
        <f t="shared" si="7"/>
        <v>57951.084841425298</v>
      </c>
      <c r="F44" s="366">
        <f t="shared" si="7"/>
        <v>78256.921220400545</v>
      </c>
      <c r="G44" s="366">
        <f t="shared" si="7"/>
        <v>46396.404469999994</v>
      </c>
      <c r="H44" s="366">
        <f t="shared" si="7"/>
        <v>22959.628080100942</v>
      </c>
      <c r="I44" s="366">
        <f t="shared" si="7"/>
        <v>140.88288430401917</v>
      </c>
      <c r="J44" s="366">
        <f t="shared" si="7"/>
        <v>8375.8018714157861</v>
      </c>
      <c r="K44" s="366">
        <f t="shared" si="7"/>
        <v>-114404.52688279217</v>
      </c>
      <c r="L44" s="366">
        <f t="shared" si="7"/>
        <v>1433</v>
      </c>
      <c r="M44" s="366">
        <v>59518.578614169382</v>
      </c>
      <c r="N44" s="8">
        <v>65351.278079266805</v>
      </c>
      <c r="O44" s="8">
        <v>71294.746432698041</v>
      </c>
      <c r="P44" s="8">
        <v>77303.925824260077</v>
      </c>
    </row>
    <row r="45" spans="1:16">
      <c r="A45" s="342" t="s">
        <v>498</v>
      </c>
      <c r="B45" s="345"/>
      <c r="C45" s="376">
        <v>22621</v>
      </c>
      <c r="D45" s="376">
        <v>1706.677077851524</v>
      </c>
      <c r="E45" s="376">
        <v>-799.577</v>
      </c>
      <c r="F45" s="23">
        <v>-1206.526360097015</v>
      </c>
      <c r="G45" s="23">
        <v>-63.302908076515223</v>
      </c>
      <c r="H45" s="376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</row>
    <row r="46" spans="1:16">
      <c r="A46" s="343" t="s">
        <v>499</v>
      </c>
      <c r="B46" s="344"/>
      <c r="C46" s="376">
        <v>7150</v>
      </c>
      <c r="D46" s="376">
        <v>-1159.8243400000001</v>
      </c>
      <c r="E46" s="376">
        <v>-11678.14939</v>
      </c>
      <c r="F46" s="23">
        <v>1037.0412756000001</v>
      </c>
      <c r="G46" s="23">
        <v>-19758.476630000001</v>
      </c>
      <c r="H46" s="376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</row>
    <row r="47" spans="1:16">
      <c r="A47" s="343" t="s">
        <v>500</v>
      </c>
      <c r="B47" s="344"/>
      <c r="C47" s="373">
        <v>0</v>
      </c>
      <c r="D47" s="376">
        <v>0</v>
      </c>
      <c r="E47" s="373">
        <v>-743.67</v>
      </c>
      <c r="F47" s="23">
        <v>-1509.1870000000001</v>
      </c>
      <c r="G47" s="23">
        <v>5375.1013999999996</v>
      </c>
      <c r="H47" s="376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>
      <c r="A48" s="343" t="s">
        <v>501</v>
      </c>
      <c r="B48" s="344"/>
      <c r="C48" s="373">
        <v>0</v>
      </c>
      <c r="D48" s="376">
        <v>0</v>
      </c>
      <c r="E48" s="373">
        <v>-4554.58554</v>
      </c>
      <c r="F48" s="23">
        <v>-2635.1899100000001</v>
      </c>
      <c r="G48" s="23">
        <v>-771.45402000000001</v>
      </c>
      <c r="H48" s="376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>
      <c r="A49" s="325" t="s">
        <v>502</v>
      </c>
      <c r="B49" s="316"/>
      <c r="C49" s="373">
        <v>-877</v>
      </c>
      <c r="D49" s="376">
        <v>0</v>
      </c>
      <c r="E49" s="373">
        <v>0</v>
      </c>
      <c r="F49" s="23">
        <v>0</v>
      </c>
      <c r="G49" s="23">
        <v>0</v>
      </c>
      <c r="H49" s="376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>
      <c r="A50" s="343" t="s">
        <v>503</v>
      </c>
      <c r="B50" s="344"/>
      <c r="C50" s="373">
        <v>-9892</v>
      </c>
      <c r="D50" s="376">
        <v>-2424.9584500000001</v>
      </c>
      <c r="E50" s="373">
        <v>-6241.5990000000002</v>
      </c>
      <c r="F50" s="23">
        <v>-3830.0338200000001</v>
      </c>
      <c r="G50" s="23">
        <v>-4099.9849999999997</v>
      </c>
      <c r="H50" s="376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</row>
    <row r="51" spans="1:16">
      <c r="A51" s="343" t="s">
        <v>504</v>
      </c>
      <c r="B51" s="346"/>
      <c r="C51" s="377">
        <v>0</v>
      </c>
      <c r="D51" s="377">
        <v>-8482.2513770875557</v>
      </c>
      <c r="E51" s="377">
        <v>-12648.48400233217</v>
      </c>
      <c r="F51" s="23">
        <v>-15161.074877599462</v>
      </c>
      <c r="G51" s="23">
        <v>-18342.442920000001</v>
      </c>
      <c r="H51" s="378">
        <v>-16796.437820203028</v>
      </c>
      <c r="I51" s="336"/>
      <c r="J51" s="336">
        <v>28336.202229999999</v>
      </c>
      <c r="K51" s="336">
        <v>-110584.390763918</v>
      </c>
      <c r="L51" s="336">
        <v>0</v>
      </c>
      <c r="M51" s="336">
        <v>0</v>
      </c>
      <c r="N51" s="23">
        <v>0</v>
      </c>
      <c r="O51" s="23">
        <v>0</v>
      </c>
      <c r="P51" s="23">
        <v>0</v>
      </c>
    </row>
    <row r="52" spans="1:16" ht="15" thickBot="1">
      <c r="A52" s="314" t="s">
        <v>505</v>
      </c>
      <c r="B52" s="315"/>
      <c r="C52" s="379">
        <f>C44-SUM(C45:C51)</f>
        <v>78723</v>
      </c>
      <c r="D52" s="379">
        <f>D44-SUM(D45:D51)</f>
        <v>80544.357089236029</v>
      </c>
      <c r="E52" s="379">
        <f t="shared" ref="E52:G52" si="8">E44-SUM(E45:E51)</f>
        <v>94617.149773757468</v>
      </c>
      <c r="F52" s="379">
        <f>F44-SUM(F45:F51)</f>
        <v>101561.89191249703</v>
      </c>
      <c r="G52" s="379">
        <f t="shared" si="8"/>
        <v>84056.964548076503</v>
      </c>
      <c r="H52" s="379">
        <f>H44-SUM(H45:H51)</f>
        <v>46331.677970303972</v>
      </c>
      <c r="I52" s="379">
        <f t="shared" ref="I52:L52" si="9">I44-SUM(I45:I51)</f>
        <v>22014.294035117142</v>
      </c>
      <c r="J52" s="379">
        <f t="shared" si="9"/>
        <v>7990.9613684409251</v>
      </c>
      <c r="K52" s="379">
        <f t="shared" si="9"/>
        <v>15173.008459606499</v>
      </c>
      <c r="L52" s="379">
        <f t="shared" si="9"/>
        <v>6005</v>
      </c>
      <c r="M52" s="381">
        <v>63180.4082839658</v>
      </c>
      <c r="N52" s="94">
        <v>82415.375338512458</v>
      </c>
      <c r="O52" s="94">
        <v>86722.632395882611</v>
      </c>
      <c r="P52" s="94">
        <v>93181.14053162343</v>
      </c>
    </row>
    <row r="53" spans="1:16">
      <c r="A53" s="312" t="s">
        <v>506</v>
      </c>
      <c r="B53" s="312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N53" s="9">
        <f>N52/N8</f>
        <v>0.2346468131480707</v>
      </c>
      <c r="O53" s="9">
        <v>0.25331807679648072</v>
      </c>
      <c r="P53" s="9">
        <v>0.23278989145472739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Income Statement</vt:lpstr>
      <vt:lpstr>DFC Price</vt:lpstr>
      <vt:lpstr>Balance sheet</vt:lpstr>
      <vt:lpstr>Cash flow</vt:lpstr>
      <vt:lpstr>Gross operational revenue</vt:lpstr>
      <vt:lpstr>'BP Price'!_GoBack</vt:lpstr>
      <vt:lpstr>'Balance sheet'!Area_de_impressao</vt:lpstr>
      <vt:lpstr>'Cash flow'!Area_de_impressao</vt:lpstr>
      <vt:lpstr>'Income Statement'!Area_de_impressao</vt:lpstr>
      <vt:lpstr>'Planilha Hélio'!Area_de_impressao</vt:lpstr>
      <vt:lpstr>ATIVO</vt:lpstr>
      <vt:lpstr>DRE</vt:lpstr>
      <vt:lpstr>PASSIVO</vt:lpstr>
      <vt:lpstr>'Cash flow'!Titulos_de_impressao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2025-08-11T19:47:03Z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