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\\serverbkp\RI\Resultados\2024\4T24\Pacote de Divulgação\"/>
    </mc:Choice>
  </mc:AlternateContent>
  <xr:revisionPtr revIDLastSave="0" documentId="8_{BA56E549-D342-4766-928A-B1E5B91C9F0D}" xr6:coauthVersionLast="47" xr6:coauthVersionMax="47" xr10:uidLastSave="{00000000-0000-0000-0000-000000000000}"/>
  <bookViews>
    <workbookView xWindow="-120" yWindow="-120" windowWidth="29040" windowHeight="15720" tabRatio="594" firstSheet="3" activeTab="3" xr2:uid="{00000000-000D-0000-FFFF-FFFF00000000}"/>
  </bookViews>
  <sheets>
    <sheet name="BP Price" sheetId="17" state="hidden" r:id="rId1"/>
    <sheet name="DRE Price" sheetId="16" state="hidden" r:id="rId2"/>
    <sheet name="Planilha Hélio" sheetId="14" state="hidden" r:id="rId3"/>
    <sheet name="Income Statement" sheetId="1" r:id="rId4"/>
    <sheet name="DFC Price" sheetId="18" state="hidden" r:id="rId5"/>
    <sheet name="Balanço Patrimonial" sheetId="3" r:id="rId6"/>
    <sheet name="Cash Flow" sheetId="12" r:id="rId7"/>
    <sheet name="Income Statement Hist" sheetId="19" r:id="rId8"/>
  </sheets>
  <definedNames>
    <definedName name="\a">#REF!</definedName>
    <definedName name="_1524GLO">#REF!</definedName>
    <definedName name="_214GLO">#REF!</definedName>
    <definedName name="_2539GLO">#REF!</definedName>
    <definedName name="_40GLO">#REF!</definedName>
    <definedName name="_A3">[0]!_p1</definedName>
    <definedName name="_ano08">#REF!</definedName>
    <definedName name="_bsa3">#REF!</definedName>
    <definedName name="_xlnm._FilterDatabase" localSheetId="2" hidden="1">'Planilha Hélio'!$L$99:$L$145</definedName>
    <definedName name="_GoBack" localSheetId="0">'BP Price'!$A$26</definedName>
    <definedName name="_Key1" hidden="1">#REF!</definedName>
    <definedName name="_Key2" hidden="1">#REF!</definedName>
    <definedName name="_key99" hidden="1">#REF!</definedName>
    <definedName name="_MES1">#REF!</definedName>
    <definedName name="_MES2">#REF!</definedName>
    <definedName name="_MES3">#REF!</definedName>
    <definedName name="_MES4">#REF!</definedName>
    <definedName name="_MES5">#REF!</definedName>
    <definedName name="_MES6">#REF!</definedName>
    <definedName name="_od2">#REF!</definedName>
    <definedName name="_OD3">#REF!</definedName>
    <definedName name="_Order1" hidden="1">255</definedName>
    <definedName name="_Order2" hidden="1">0</definedName>
    <definedName name="_PB2">#REF!</definedName>
    <definedName name="_PB3">#REF!</definedName>
    <definedName name="_PB4">#REF!</definedName>
    <definedName name="_PB5">#REF!</definedName>
    <definedName name="_PB6">#REF!</definedName>
    <definedName name="_PB7">#REF!</definedName>
    <definedName name="_PBA2">#REF!</definedName>
    <definedName name="_PBA3">#REF!</definedName>
    <definedName name="_PBA4">#REF!</definedName>
    <definedName name="_PBA5">#REF!</definedName>
    <definedName name="_PBA6">#REF!</definedName>
    <definedName name="_PBA7">#REF!</definedName>
    <definedName name="_PE1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R7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_PS7">#REF!</definedName>
    <definedName name="_R">#REF!</definedName>
    <definedName name="_rad2">#REF!</definedName>
    <definedName name="_rd2">#REF!</definedName>
    <definedName name="_RS1">#REF!</definedName>
    <definedName name="_SC1">#REF!</definedName>
    <definedName name="_Sort" hidden="1">#REF!</definedName>
    <definedName name="_sort1" hidden="1">#REF!</definedName>
    <definedName name="_SP1">#REF!</definedName>
    <definedName name="_TV2">[0]!_p1</definedName>
    <definedName name="A">1</definedName>
    <definedName name="AA">#REF!</definedName>
    <definedName name="aas">#REF!</definedName>
    <definedName name="AB">#REF!</definedName>
    <definedName name="ABGLO">#REF!</definedName>
    <definedName name="Abna">#REF!</definedName>
    <definedName name="abril">#REF!</definedName>
    <definedName name="adriana">#REF!</definedName>
    <definedName name="AEI">[0]!_p1</definedName>
    <definedName name="alameda">#REF!</definedName>
    <definedName name="Aluguel">#REF!</definedName>
    <definedName name="ana">[0]!_p1</definedName>
    <definedName name="Andina">#REF!</definedName>
    <definedName name="AndreBiagi">#REF!</definedName>
    <definedName name="ANDRESSA">#REF!</definedName>
    <definedName name="annnnnnnnnn">#REF!</definedName>
    <definedName name="Ano">#REF!</definedName>
    <definedName name="ÁREA">#REF!</definedName>
    <definedName name="_xlnm.Print_Area" localSheetId="5">'Balanço Patrimonial'!$A$2:$H$68</definedName>
    <definedName name="_xlnm.Print_Area" localSheetId="6">'Cash Flow'!$A$2:$V$77</definedName>
    <definedName name="_xlnm.Print_Area" localSheetId="3">'Income Statement'!$A$2:$AH$53</definedName>
    <definedName name="_xlnm.Print_Area" localSheetId="2">'Planilha Hélio'!$A$47:$L$93</definedName>
    <definedName name="_xlnm.Print_Area">#N/A</definedName>
    <definedName name="Área_impressão_IM">#REF!</definedName>
    <definedName name="AreEstimada">#REF!</definedName>
    <definedName name="AreFEE">#REF!</definedName>
    <definedName name="AreReal">#REF!</definedName>
    <definedName name="asada">#REF!</definedName>
    <definedName name="ASD">#REF!</definedName>
    <definedName name="ASSS">[0]!_p1</definedName>
    <definedName name="ATIVO">'Planilha Hélio'!$A$1:$L$43</definedName>
    <definedName name="ATIVO2">#REF!</definedName>
    <definedName name="AUDGLO">#REF!</definedName>
    <definedName name="B">#REF!</definedName>
    <definedName name="back">#REF!</definedName>
    <definedName name="_xlnm.Database">#REF!</definedName>
    <definedName name="bANDE">[0]!_p1</definedName>
    <definedName name="base">#REF!</definedName>
    <definedName name="base2">#REF!</definedName>
    <definedName name="BAU">#REF!</definedName>
    <definedName name="BBBBBB">[0]!_p1</definedName>
    <definedName name="BFX_A6874CA2_7E1A_11d2_8615_006097CC7F35">60118</definedName>
    <definedName name="BFX_BRANDFX">60122</definedName>
    <definedName name="BH">#REF!</definedName>
    <definedName name="bis">[0]!_p1</definedName>
    <definedName name="boneco">#REF!</definedName>
    <definedName name="borda">#REF!</definedName>
    <definedName name="bt">#REF!</definedName>
    <definedName name="BVO">#REF!</definedName>
    <definedName name="BVR">#REF!</definedName>
    <definedName name="cabo1">#REF!</definedName>
    <definedName name="caboago">#REF!</definedName>
    <definedName name="calça" hidden="1">{"'Janeiro'!$A$1:$I$153"}</definedName>
    <definedName name="CAM">#REF!</definedName>
    <definedName name="campotargest">#REF!</definedName>
    <definedName name="CAP">#REF!</definedName>
    <definedName name="Capanova" hidden="1">#REF!</definedName>
    <definedName name="caras">#REF!</definedName>
    <definedName name="CARLOS">#REF!</definedName>
    <definedName name="CASA">#REF!</definedName>
    <definedName name="CASE">#REF!</definedName>
    <definedName name="cc">#REF!</definedName>
    <definedName name="ccc">#REF!</definedName>
    <definedName name="CCL">#REF!</definedName>
    <definedName name="CEE">#REF!</definedName>
    <definedName name="ceg">#REF!</definedName>
    <definedName name="Cenário">#REF!</definedName>
    <definedName name="CGLO">#REF!</definedName>
    <definedName name="cinco">#REF!</definedName>
    <definedName name="çjk">[0]!_p1</definedName>
    <definedName name="claudia">#REF!</definedName>
    <definedName name="CODGLO">#REF!</definedName>
    <definedName name="CODTERRITORIO">#REF!</definedName>
    <definedName name="commid">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>#REF!</definedName>
    <definedName name="contigo">#REF!</definedName>
    <definedName name="CPMGLO">#REF!</definedName>
    <definedName name="CPPGLO">#REF!</definedName>
    <definedName name="criativa">#REF!</definedName>
    <definedName name="_xlnm.Criteria">#REF!</definedName>
    <definedName name="CUR">#REF!</definedName>
    <definedName name="CURITIBA">[0]!_p1</definedName>
    <definedName name="cutoff">#REF!</definedName>
    <definedName name="D">[0]!_p1</definedName>
    <definedName name="DADD">#REF!</definedName>
    <definedName name="DAN">[0]!_p1</definedName>
    <definedName name="DD">#REF!</definedName>
    <definedName name="DdaHoraPgPerc">#REF!</definedName>
    <definedName name="DDD">#REF!</definedName>
    <definedName name="DDDDDD">#REF!</definedName>
    <definedName name="DEGLO">#REF!</definedName>
    <definedName name="Delta">#REF!</definedName>
    <definedName name="DeltaMORMAII">#REF!</definedName>
    <definedName name="DeltaSEIKO">#REF!</definedName>
    <definedName name="DeltaTECHNOS">#REF!</definedName>
    <definedName name="DeltaTP">#REF!</definedName>
    <definedName name="devers2">#REF!</definedName>
    <definedName name="Dezembro" hidden="1">{"'Janeiro'!$A$1:$I$153"}</definedName>
    <definedName name="DF">#REF!</definedName>
    <definedName name="DFDX">[0]!_p1</definedName>
    <definedName name="DFGXDRH">[0]!_p1</definedName>
    <definedName name="DhAcesAbs">#REF!</definedName>
    <definedName name="DhAcesAbsAcum">#REF!</definedName>
    <definedName name="DhAcesPer">#REF!</definedName>
    <definedName name="DhAcesPerAcum">#REF!</definedName>
    <definedName name="DhAcesPerc">#REF!</definedName>
    <definedName name="DhPgAbs">#REF!</definedName>
    <definedName name="DhPgAbsAcum">#REF!</definedName>
    <definedName name="DhPgPerAcum">#REF!</definedName>
    <definedName name="DhPgPerc">#REF!</definedName>
    <definedName name="DIAGLO">#REF!</definedName>
    <definedName name="DICNOMEBL_Mun">#REF!</definedName>
    <definedName name="DICNOMEBL_UF">#REF!</definedName>
    <definedName name="dinossauro">#REF!</definedName>
    <definedName name="dirj">#REF!</definedName>
    <definedName name="dissidio">#REF!</definedName>
    <definedName name="Distritos">#REF!</definedName>
    <definedName name="Divers">#REF!</definedName>
    <definedName name="DN">[0]!_p1</definedName>
    <definedName name="Doac">#REF!</definedName>
    <definedName name="DocumentDate">#REF!</definedName>
    <definedName name="DocumentYear">#REF!</definedName>
    <definedName name="Dolar100">#REF!</definedName>
    <definedName name="DolarFabric">#REF!</definedName>
    <definedName name="DolarRecof">#REF!</definedName>
    <definedName name="DOMGLO">#REF!</definedName>
    <definedName name="dr">#REF!</definedName>
    <definedName name="DRE">'Planilha Hélio'!$A$95:$L$145</definedName>
    <definedName name="eds">#REF!</definedName>
    <definedName name="EDW">#REF!</definedName>
    <definedName name="ELETROMIDIA">[0]!_p1</definedName>
    <definedName name="eliane">#REF!</definedName>
    <definedName name="ER">[0]!_p1</definedName>
    <definedName name="ESPN">[0]!_p1</definedName>
    <definedName name="estoque">#REF!</definedName>
    <definedName name="EURO">#REF!</definedName>
    <definedName name="EVA10GLO">#REF!</definedName>
    <definedName name="EVA11GLO">#REF!</definedName>
    <definedName name="EVA12GLO">#REF!</definedName>
    <definedName name="EVA13GLO">#REF!</definedName>
    <definedName name="EVA1GLO">#REF!</definedName>
    <definedName name="EVA2GLO">#REF!</definedName>
    <definedName name="EVA3GLO">#REF!</definedName>
    <definedName name="EVA4GLO">#REF!</definedName>
    <definedName name="EVA5GLO">#REF!</definedName>
    <definedName name="EVA6GLO">#REF!</definedName>
    <definedName name="EVA7GLO">#REF!</definedName>
    <definedName name="EVA8GLO">#REF!</definedName>
    <definedName name="EVA9GLO">#REF!</definedName>
    <definedName name="EVCPM10GLO">#REF!</definedName>
    <definedName name="EVCPM11GLO">#REF!</definedName>
    <definedName name="EVCPM12GLO">#REF!</definedName>
    <definedName name="EVCPM13GLO">#REF!</definedName>
    <definedName name="EVCPM1GLO">#REF!</definedName>
    <definedName name="EVCPM2GLO">#REF!</definedName>
    <definedName name="EVCPM3GLO">#REF!</definedName>
    <definedName name="EVCPM4GLO">#REF!</definedName>
    <definedName name="EVCPM5GLO">#REF!</definedName>
    <definedName name="EVCPM6GLO">#REF!</definedName>
    <definedName name="EVCPM7GLO">#REF!</definedName>
    <definedName name="EVCPM8GLO">#REF!</definedName>
    <definedName name="EVCPM9GLO">#REF!</definedName>
    <definedName name="EVP10GLO">#REF!</definedName>
    <definedName name="EVP11GLO">#REF!</definedName>
    <definedName name="EVP12GLO">#REF!</definedName>
    <definedName name="EVP13GLO">#REF!</definedName>
    <definedName name="EVP1GLO">#REF!</definedName>
    <definedName name="EVP2GLO">#REF!</definedName>
    <definedName name="EVP3GLO">#REF!</definedName>
    <definedName name="EVP4GLO">#REF!</definedName>
    <definedName name="EVP5GLO">#REF!</definedName>
    <definedName name="EVP6GLO">#REF!</definedName>
    <definedName name="EVP7GLO">#REF!</definedName>
    <definedName name="EVP8GLO">#REF!</definedName>
    <definedName name="EVP9GLO">#REF!</definedName>
    <definedName name="F" hidden="1">#REF!</definedName>
    <definedName name="Fábio">#REF!</definedName>
    <definedName name="fabioa">#REF!</definedName>
    <definedName name="facafacil">#REF!</definedName>
    <definedName name="fadfasfasdf">[0]!_p1</definedName>
    <definedName name="FASDFASDF">[0]!_p1</definedName>
    <definedName name="FASFADSF">[0]!_p1</definedName>
    <definedName name="FASFASDF">[0]!_p1</definedName>
    <definedName name="FATURA">#REF!</definedName>
    <definedName name="FATURA.1">#REF!</definedName>
    <definedName name="FATURAMENTO">#REF!</definedName>
    <definedName name="fdfadfadsf">[0]!_p1</definedName>
    <definedName name="FDFDF">#REF!</definedName>
    <definedName name="fdhgxd" hidden="1">#REF!</definedName>
    <definedName name="FDSFAF">[0]!_p1</definedName>
    <definedName name="fff">#REF!</definedName>
    <definedName name="fg">#REF!</definedName>
    <definedName name="fgh">#REF!</definedName>
    <definedName name="FILTROBL_Mun">#REF!</definedName>
    <definedName name="FILTROBL_UF">#REF!</definedName>
    <definedName name="Fisicos">#REF!</definedName>
    <definedName name="Formulário">#REF!</definedName>
    <definedName name="fr">#REF!</definedName>
    <definedName name="Franquias">#REF!</definedName>
    <definedName name="fsfsdfsf">#REF!</definedName>
    <definedName name="FW">#REF!</definedName>
    <definedName name="FXHOR0718">#REF!</definedName>
    <definedName name="FXHOR1824">#REF!</definedName>
    <definedName name="G" hidden="1">#REF!</definedName>
    <definedName name="GENGLO">#REF!</definedName>
    <definedName name="GER">#REF!</definedName>
    <definedName name="Geral">#REF!</definedName>
    <definedName name="gestores">#REF!+#REF!</definedName>
    <definedName name="ggg">[0]!_p1</definedName>
    <definedName name="GNDFNGL">#REF!</definedName>
    <definedName name="gr">#REF!</definedName>
    <definedName name="grp">#REF!,#REF!,#REF!,#REF!,#REF!</definedName>
    <definedName name="grupo1">#REF!</definedName>
    <definedName name="grupo2">#REF!</definedName>
    <definedName name="grupo3">#REF!</definedName>
    <definedName name="Grupos">#REF!</definedName>
    <definedName name="GYFTHJYJ">#REF!</definedName>
    <definedName name="HGLO">#REF!</definedName>
    <definedName name="hkç">#REF!</definedName>
    <definedName name="HORGLO">#REF!</definedName>
    <definedName name="HTML_CodePage" hidden="1">1252</definedName>
    <definedName name="HTML_Control" hidden="1">{"'RR'!$A$2:$E$81"}</definedName>
    <definedName name="HTML_Description" hidden="1">""</definedName>
    <definedName name="HTML_Email" hidden="1">""</definedName>
    <definedName name="HTML_Header" hidden="1">"ini"</definedName>
    <definedName name="HTML_LastUpdate" hidden="1">"6/03/98"</definedName>
    <definedName name="HTML_LineAfter" hidden="1">FALSE</definedName>
    <definedName name="HTML_LineBefore" hidden="1">FALSE</definedName>
    <definedName name="HTML_Name" hidden="1">"C.S.N"</definedName>
    <definedName name="HTML_OBDlg2" hidden="1">TRUE</definedName>
    <definedName name="HTML_OBDlg4" hidden="1">TRUE</definedName>
    <definedName name="HTML_OS" hidden="1">0</definedName>
    <definedName name="HTML_PathFile" hidden="1">"C:\TRAB\downl\MeuHTML.htm"</definedName>
    <definedName name="HTML_Title" hidden="1">"inix"</definedName>
    <definedName name="HTML1_1" hidden="1">"[map.xls]Plan1!$A$1:$B$8"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"map"</definedName>
    <definedName name="HTML1_4" hidden="1">"Plan1"</definedName>
    <definedName name="HTML1_5" hidden="1">""</definedName>
    <definedName name="HTML1_6" hidden="1">-4146</definedName>
    <definedName name="HTML1_7" hidden="1">-4146</definedName>
    <definedName name="HTML1_8" hidden="1">"16/02/98"</definedName>
    <definedName name="HTML1_9" hidden="1">"C.S.N"</definedName>
    <definedName name="HTMLCount" hidden="1">1</definedName>
    <definedName name="I">#REF!</definedName>
    <definedName name="ihhyu">#REF!</definedName>
    <definedName name="ImpMdb">#REF!</definedName>
    <definedName name="IMPRESSÃO">#REF!</definedName>
    <definedName name="Impressao1">#REF!</definedName>
    <definedName name="Impressão1">#REF!</definedName>
    <definedName name="Impressao2">#REF!</definedName>
    <definedName name="Impressão2">#REF!</definedName>
    <definedName name="Impressao3">#REF!</definedName>
    <definedName name="Impressap3">#REF!</definedName>
    <definedName name="IMPRIME">#REF!</definedName>
    <definedName name="ImprimePrevisto">#REF!</definedName>
    <definedName name="ImprimeRealizado">#REF!</definedName>
    <definedName name="ImprimeSaldo">#REF!</definedName>
    <definedName name="IMPRIMIRMAPA">#REF!</definedName>
    <definedName name="imprimirmidia">#REF!</definedName>
    <definedName name="inclusão_de_novos_campos">#REF!</definedName>
    <definedName name="IndConGlo">#REF!</definedName>
    <definedName name="Informativos">#REF!</definedName>
    <definedName name="INSERÇÃO">#REF!,#REF!,#REF!,#REF!,#REF!,#REF!,#REF!,#REF!,#REF!,#REF!,#REF!,#REF!</definedName>
    <definedName name="INTERIOR">#REF!</definedName>
    <definedName name="internet2">[0]!_p1</definedName>
    <definedName name="IO">[0]!_p1</definedName>
    <definedName name="IPC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40617.9442939815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toe">#REF!</definedName>
    <definedName name="J">#REF!</definedName>
    <definedName name="Jan_Estim">#REF!</definedName>
    <definedName name="Janeiro" hidden="1">{"'Janeiro'!$A$1:$I$153"}</definedName>
    <definedName name="joao">#REF!</definedName>
    <definedName name="JOES">#REF!</definedName>
    <definedName name="Jornal" hidden="1">{"'Tnet  Dnet_15_Mn1000'!$A$8:$F$178"}</definedName>
    <definedName name="Jornas">#REF!</definedName>
    <definedName name="Julho">[0]!_p1</definedName>
    <definedName name="K">[0]!_p1</definedName>
    <definedName name="KITZELIA.KITZELIA">#REF!</definedName>
    <definedName name="KKKKK">#REF!</definedName>
    <definedName name="koo">#REF!</definedName>
    <definedName name="ld" hidden="1">#REF!</definedName>
    <definedName name="Limite">[0]!_p1</definedName>
    <definedName name="limite2">[0]!_p1</definedName>
    <definedName name="localidades">#REF!</definedName>
    <definedName name="Lojas">#REF!</definedName>
    <definedName name="LUIZ">#REF!</definedName>
    <definedName name="m">[0]!_p1</definedName>
    <definedName name="MajorHeader">#REF!</definedName>
    <definedName name="manequim">#REF!</definedName>
    <definedName name="marieclaire">#REF!</definedName>
    <definedName name="mark">#REF!</definedName>
    <definedName name="marketing">#REF!</definedName>
    <definedName name="Marylena">#REF!</definedName>
    <definedName name="mb">#REF!</definedName>
    <definedName name="media">#REF!</definedName>
    <definedName name="merc">#REF!</definedName>
    <definedName name="merch">#REF!</definedName>
    <definedName name="Merchandising">[0]!_p1</definedName>
    <definedName name="MESACUMULADO">#REF!</definedName>
    <definedName name="Meses">#REF!</definedName>
    <definedName name="MGLO">#REF!</definedName>
    <definedName name="MÍDIAEXTERIORjan">[0]!_p1</definedName>
    <definedName name="MKT">#REF!</definedName>
    <definedName name="MKTGROSSUP">#REF!</definedName>
    <definedName name="MM" hidden="1">{"'Tnet  Dnet_15_Mn1000'!$A$8:$F$178"}</definedName>
    <definedName name="mmm" hidden="1">#REF!</definedName>
    <definedName name="MOB.URBANO">#REF!</definedName>
    <definedName name="MOBILIÁRIO">#REF!</definedName>
    <definedName name="modamoldes">#REF!</definedName>
    <definedName name="Moeda">#REF!</definedName>
    <definedName name="Mun">#REF!</definedName>
    <definedName name="MUR">[0]!_p1</definedName>
    <definedName name="N" hidden="1">#REF!</definedName>
    <definedName name="neide" hidden="1">{"'Janeiro'!$A$1:$I$153"}</definedName>
    <definedName name="NMGLO">#REF!</definedName>
    <definedName name="NOMEPRODUTO1">#REF!</definedName>
    <definedName name="NOMEPRODUTO2">#REF!</definedName>
    <definedName name="NOMEPRODUTO3">#REF!</definedName>
    <definedName name="NOMEPRODUTO4">#REF!</definedName>
    <definedName name="NOMETERRITORIO">#REF!</definedName>
    <definedName name="NOMETERRITORIOMAIS">#REF!</definedName>
    <definedName name="NOMETERRITORIOTIT">#REF!</definedName>
    <definedName name="NOMETERRITORIOTITMAIS">#REF!</definedName>
    <definedName name="NOMEUNIDADE1">#REF!</definedName>
    <definedName name="NOMEUNIDADE2">#REF!</definedName>
    <definedName name="NOMEUNIDADE3">#REF!</definedName>
    <definedName name="NOMEUNIDADE4">#REF!</definedName>
    <definedName name="North">#REF!</definedName>
    <definedName name="nova">#REF!</definedName>
    <definedName name="novo">#REF!</definedName>
    <definedName name="NRB">[0]!_p1</definedName>
    <definedName name="NUMERODEORDEM">#REF!</definedName>
    <definedName name="NUMGLO">#REF!</definedName>
    <definedName name="NvsASD">"V2001-01-31"</definedName>
    <definedName name="NvsAutoDrillOk">"VN"</definedName>
    <definedName name="NvsElapsedTime">0.00138020833401242</definedName>
    <definedName name="NvsEndTime">36952.6638362267</definedName>
    <definedName name="NvsInstSpec">"%"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ACCOUNT">"GL_ACCOUNT_TBL"</definedName>
    <definedName name="NvsValTbl.BU_ATIVIDADE">"BU_ATIVIDADE"</definedName>
    <definedName name="NvsValTbl.BUSINESS_UNIT">"BUS_UNIT_TBL_GL"</definedName>
    <definedName name="O">#REF!</definedName>
    <definedName name="oi" hidden="1">{"'Tnet  Dnet_15_Mn1000'!$A$8:$F$178"}</definedName>
    <definedName name="ok">#REF!</definedName>
    <definedName name="OKK">#REF!</definedName>
    <definedName name="okokok">[0]!_p1</definedName>
    <definedName name="ORDEMTERRITORIO">#REF!</definedName>
    <definedName name="out">#REF!</definedName>
    <definedName name="Out_96">#REF!</definedName>
    <definedName name="P">#REF!</definedName>
    <definedName name="painel">#REF!</definedName>
    <definedName name="PARGLO">#REF!</definedName>
    <definedName name="Participação">#REF!</definedName>
    <definedName name="PASSIVO">'Planilha Hélio'!$A$47:$L$93</definedName>
    <definedName name="PASSIVO2">#REF!</definedName>
    <definedName name="patroc">#REF!</definedName>
    <definedName name="patrocGlo">#REF!</definedName>
    <definedName name="PB">#REF!</definedName>
    <definedName name="PBA">#REF!</definedName>
    <definedName name="pegn">#REF!</definedName>
    <definedName name="perfilglobo">#REF!</definedName>
    <definedName name="PGLO">#REF!</definedName>
    <definedName name="plan" hidden="1">{"'Tnet  Dnet_15_Mn1000'!$A$8:$F$178"}</definedName>
    <definedName name="PLAN_A6874CA2_7E1A_11d2_8615_006097CC7F35">#REF!</definedName>
    <definedName name="PLAN_BRANDFX">#REF!</definedName>
    <definedName name="Planeador">#REF!</definedName>
    <definedName name="playboy">#REF!</definedName>
    <definedName name="PLR">#REF!</definedName>
    <definedName name="Pontos___Email">#REF!</definedName>
    <definedName name="popopo">#REF!</definedName>
    <definedName name="Pós">[0]!_p1</definedName>
    <definedName name="pr">#REF!</definedName>
    <definedName name="praç">#REF!</definedName>
    <definedName name="praça">#REF!</definedName>
    <definedName name="pracas_03">#REF!</definedName>
    <definedName name="Pré2">[0]!_p1</definedName>
    <definedName name="PRGLO">#REF!</definedName>
    <definedName name="Print">#REF!</definedName>
    <definedName name="Print_Area_MI">#REF!</definedName>
    <definedName name="PROGRAMAS">#REF!</definedName>
    <definedName name="PRP">#REF!</definedName>
    <definedName name="PS">#REF!</definedName>
    <definedName name="PUs">#REF!</definedName>
    <definedName name="qe">#REF!</definedName>
    <definedName name="qr">#REF!</definedName>
    <definedName name="qw">#REF!</definedName>
    <definedName name="rad">#REF!</definedName>
    <definedName name="Radio">#REF!</definedName>
    <definedName name="RÁDIO_PROGRAMAÇÃO_RECOMENDADA_60">#REF!</definedName>
    <definedName name="RADIO2">#REF!</definedName>
    <definedName name="radiodilema">#REF!</definedName>
    <definedName name="radiofmam">#REF!</definedName>
    <definedName name="RadioSP">#REF!</definedName>
    <definedName name="rafa">#REF!</definedName>
    <definedName name="rdcontrato">[0]!_p1</definedName>
    <definedName name="rdcontratos" hidden="1">{"'Janeiro'!$A$1:$I$153"}</definedName>
    <definedName name="rdio2">#REF!</definedName>
    <definedName name="rdj">#REF!</definedName>
    <definedName name="Real100">#REF!</definedName>
    <definedName name="RealFabric">#REF!</definedName>
    <definedName name="RealRecof">#REF!</definedName>
    <definedName name="Região">#REF!</definedName>
    <definedName name="RELAÇÃO">#REF!</definedName>
    <definedName name="RESUMO">#REF!</definedName>
    <definedName name="rev">#REF!</definedName>
    <definedName name="revista" hidden="1">{"'Tnet  Dnet_15_Mn1000'!$A$8:$F$178"}</definedName>
    <definedName name="revistas">#REF!</definedName>
    <definedName name="ri">#REF!</definedName>
    <definedName name="RIB">#REF!</definedName>
    <definedName name="RJ">#REF!</definedName>
    <definedName name="rqfasfmasklfkçlas">[0]!_p1</definedName>
    <definedName name="rt">#REF!</definedName>
    <definedName name="rtyhdfg">[0]!_p1</definedName>
    <definedName name="rv">#REF!</definedName>
    <definedName name="s">#REF!</definedName>
    <definedName name="s\ffew">#REF!</definedName>
    <definedName name="SAD">#REF!</definedName>
    <definedName name="safw">#REF!</definedName>
    <definedName name="SAL">#REF!</definedName>
    <definedName name="SAN">#REF!</definedName>
    <definedName name="Sandra">#REF!</definedName>
    <definedName name="sc">#REF!</definedName>
    <definedName name="SCA">#REF!</definedName>
    <definedName name="Score">#REF!</definedName>
    <definedName name="sd">[0]!_p1</definedName>
    <definedName name="sdas" hidden="1">[0]!_p1</definedName>
    <definedName name="SGASDFGASDF">#REF!</definedName>
    <definedName name="SHIRLEY">#REF!</definedName>
    <definedName name="SHIRLEYR">#REF!</definedName>
    <definedName name="sim">#REF!</definedName>
    <definedName name="Sispec">#REF!</definedName>
    <definedName name="Sispec00">#REF!</definedName>
    <definedName name="Sispec98">#REF!</definedName>
    <definedName name="Sispec99">#REF!</definedName>
    <definedName name="SispecPSAP">#REF!</definedName>
    <definedName name="SJC">#REF!</definedName>
    <definedName name="SJR">#REF!</definedName>
    <definedName name="SOR">#REF!</definedName>
    <definedName name="South">#REF!</definedName>
    <definedName name="SP">#REF!</definedName>
    <definedName name="ss" hidden="1">{"'RR'!$A$2:$E$81"}</definedName>
    <definedName name="ssd">#REF!</definedName>
    <definedName name="SU">#REF!</definedName>
    <definedName name="Sudeste">[0]!_p1</definedName>
    <definedName name="super">#REF!</definedName>
    <definedName name="SUPPLEMT">#REF!</definedName>
    <definedName name="t">#REF!</definedName>
    <definedName name="Tab.Participação">#REF!</definedName>
    <definedName name="Tabela">#REF!</definedName>
    <definedName name="tabelatab">#REF!</definedName>
    <definedName name="TabEmp">#REF!</definedName>
    <definedName name="TabImport">#REF!</definedName>
    <definedName name="TabMeses">#REF!</definedName>
    <definedName name="TabPer">#REF!</definedName>
    <definedName name="TabUF">#REF!</definedName>
    <definedName name="TECHNOS_S.A.">#REF!</definedName>
    <definedName name="TELGLO">#REF!</definedName>
    <definedName name="test" hidden="1">{"'Tnet  Dnet_15_Mn1000'!$A$8:$F$178"}</definedName>
    <definedName name="teste">#REF!</definedName>
    <definedName name="TESTE1">#REF!</definedName>
    <definedName name="TIPO">#REF!</definedName>
    <definedName name="TIPO_PTO">#REF!</definedName>
    <definedName name="_xlnm.Print_Titles" localSheetId="6">'Cash Flow'!$2:$2</definedName>
    <definedName name="Todas_as_pendencias">#REF!</definedName>
    <definedName name="total1">#REF!</definedName>
    <definedName name="total2">#REF!</definedName>
    <definedName name="total3">#REF!</definedName>
    <definedName name="TOTORDEMMun">#REF!</definedName>
    <definedName name="TOTORDEMUF">#REF!</definedName>
    <definedName name="tpcenário">#REF!</definedName>
    <definedName name="trad">#REF!</definedName>
    <definedName name="trem">[0]!_p1</definedName>
    <definedName name="tt">#REF!</definedName>
    <definedName name="TTT" hidden="1">#REF!</definedName>
    <definedName name="TTTT">#REF!</definedName>
    <definedName name="tv">[0]!_p1</definedName>
    <definedName name="ty">#REF!</definedName>
    <definedName name="UYOIO">[0]!_p1</definedName>
    <definedName name="valo">#REF!</definedName>
    <definedName name="VALOR">#REF!</definedName>
    <definedName name="veja">#REF!</definedName>
    <definedName name="vr">#REF!</definedName>
    <definedName name="vrt">#REF!</definedName>
    <definedName name="WeekNumbers">#REF!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sfesgfef">#REF!</definedName>
    <definedName name="x">#REF!</definedName>
    <definedName name="xx">#REF!</definedName>
    <definedName name="XXX">#REF!</definedName>
    <definedName name="yusguygwiuwhedw">#REF!</definedName>
    <definedName name="ZNB">[0]!_p1</definedName>
    <definedName name="ZZZ">[0]!_p1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3" i="19" l="1"/>
  <c r="AF27" i="1"/>
  <c r="AE51" i="1" l="1"/>
  <c r="AE50" i="1"/>
  <c r="AE49" i="1"/>
  <c r="AE48" i="1"/>
  <c r="AE47" i="1"/>
  <c r="AE46" i="1"/>
  <c r="AE45" i="1"/>
  <c r="AE43" i="1"/>
  <c r="AE42" i="1"/>
  <c r="AE41" i="1"/>
  <c r="AE40" i="1"/>
  <c r="AE39" i="1"/>
  <c r="AE38" i="1"/>
  <c r="AE32" i="1"/>
  <c r="AE31" i="1"/>
  <c r="AE27" i="1"/>
  <c r="AE26" i="1"/>
  <c r="AE25" i="1"/>
  <c r="AE21" i="1"/>
  <c r="AE18" i="1"/>
  <c r="AE13" i="1"/>
  <c r="AE9" i="1"/>
  <c r="AE6" i="1"/>
  <c r="AE5" i="1"/>
  <c r="AE4" i="1"/>
  <c r="AE3" i="1"/>
  <c r="S22" i="12" l="1"/>
  <c r="V53" i="1" l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6" i="1"/>
  <c r="V35" i="1"/>
  <c r="U35" i="1"/>
  <c r="V33" i="1"/>
  <c r="U33" i="1"/>
  <c r="V32" i="1"/>
  <c r="U32" i="1"/>
  <c r="V31" i="1"/>
  <c r="U31" i="1"/>
  <c r="V29" i="1"/>
  <c r="U29" i="1"/>
  <c r="V27" i="1"/>
  <c r="U27" i="1"/>
  <c r="V26" i="1"/>
  <c r="U26" i="1"/>
  <c r="V25" i="1"/>
  <c r="U25" i="1"/>
  <c r="V23" i="1"/>
  <c r="U23" i="1"/>
  <c r="V21" i="1"/>
  <c r="U21" i="1"/>
  <c r="V19" i="1"/>
  <c r="V18" i="1"/>
  <c r="U18" i="1"/>
  <c r="V16" i="1"/>
  <c r="U14" i="1"/>
  <c r="V13" i="1"/>
  <c r="U13" i="1"/>
  <c r="V11" i="1"/>
  <c r="V10" i="1"/>
  <c r="U10" i="1"/>
  <c r="V8" i="1"/>
  <c r="U8" i="1"/>
  <c r="V6" i="1"/>
  <c r="U6" i="1"/>
  <c r="V5" i="1"/>
  <c r="U5" i="1"/>
  <c r="V4" i="1"/>
  <c r="U4" i="1"/>
  <c r="V3" i="1"/>
  <c r="U3" i="1"/>
  <c r="V63" i="12" l="1"/>
  <c r="U63" i="12"/>
  <c r="V59" i="12"/>
  <c r="U59" i="12"/>
  <c r="V58" i="12"/>
  <c r="U58" i="12"/>
  <c r="V57" i="12"/>
  <c r="U57" i="12"/>
  <c r="V56" i="12"/>
  <c r="U56" i="12"/>
  <c r="V55" i="12"/>
  <c r="U55" i="12"/>
  <c r="V54" i="12"/>
  <c r="U54" i="12"/>
  <c r="V53" i="12"/>
  <c r="U53" i="12"/>
  <c r="V52" i="12"/>
  <c r="U52" i="12"/>
  <c r="V51" i="12"/>
  <c r="U51" i="12"/>
  <c r="V50" i="12"/>
  <c r="U50" i="12"/>
  <c r="V49" i="12"/>
  <c r="U49" i="12"/>
  <c r="V46" i="12"/>
  <c r="U46" i="12"/>
  <c r="V45" i="12"/>
  <c r="U45" i="12"/>
  <c r="V44" i="12"/>
  <c r="U44" i="12"/>
  <c r="V43" i="12"/>
  <c r="U43" i="12"/>
  <c r="V22" i="12"/>
  <c r="U22" i="12"/>
  <c r="V21" i="12"/>
  <c r="U21" i="12"/>
  <c r="V20" i="12"/>
  <c r="U20" i="12"/>
  <c r="V19" i="12"/>
  <c r="U19" i="12"/>
  <c r="V18" i="12"/>
  <c r="U18" i="12"/>
  <c r="V17" i="12"/>
  <c r="U17" i="12"/>
  <c r="V16" i="12"/>
  <c r="U16" i="12"/>
  <c r="V15" i="12"/>
  <c r="U15" i="12"/>
  <c r="V14" i="12"/>
  <c r="U14" i="12"/>
  <c r="V13" i="12"/>
  <c r="U13" i="12"/>
  <c r="V12" i="12"/>
  <c r="U12" i="12"/>
  <c r="V11" i="12"/>
  <c r="U11" i="12"/>
  <c r="V10" i="12"/>
  <c r="U10" i="12"/>
  <c r="V9" i="12"/>
  <c r="U9" i="12"/>
  <c r="V8" i="12"/>
  <c r="U8" i="12"/>
  <c r="V7" i="12"/>
  <c r="U7" i="12"/>
  <c r="V6" i="12"/>
  <c r="U6" i="12"/>
  <c r="V4" i="12"/>
  <c r="U4" i="12"/>
  <c r="F65" i="12"/>
  <c r="E65" i="12"/>
  <c r="F63" i="12"/>
  <c r="E63" i="12"/>
  <c r="F61" i="12"/>
  <c r="E61" i="12"/>
  <c r="F60" i="12"/>
  <c r="E60" i="12"/>
  <c r="F59" i="12"/>
  <c r="E59" i="12"/>
  <c r="F58" i="12"/>
  <c r="E58" i="12"/>
  <c r="F57" i="12"/>
  <c r="E57" i="12"/>
  <c r="F56" i="12"/>
  <c r="E56" i="12"/>
  <c r="F55" i="12"/>
  <c r="E55" i="12"/>
  <c r="F54" i="12"/>
  <c r="E54" i="12"/>
  <c r="F53" i="12"/>
  <c r="E53" i="12"/>
  <c r="F52" i="12"/>
  <c r="E52" i="12"/>
  <c r="F51" i="12"/>
  <c r="E51" i="12"/>
  <c r="F50" i="12"/>
  <c r="E50" i="12"/>
  <c r="F49" i="12"/>
  <c r="E49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F6" i="12"/>
  <c r="E6" i="12"/>
  <c r="F4" i="12"/>
  <c r="E4" i="12"/>
  <c r="J65" i="12"/>
  <c r="I65" i="12"/>
  <c r="J63" i="12"/>
  <c r="I63" i="12"/>
  <c r="J61" i="12"/>
  <c r="I61" i="12"/>
  <c r="J60" i="12"/>
  <c r="I60" i="12"/>
  <c r="J59" i="12"/>
  <c r="I59" i="12"/>
  <c r="J58" i="12"/>
  <c r="I58" i="12"/>
  <c r="J57" i="12"/>
  <c r="I57" i="12"/>
  <c r="J56" i="12"/>
  <c r="I56" i="12"/>
  <c r="J55" i="12"/>
  <c r="I55" i="12"/>
  <c r="J54" i="12"/>
  <c r="I54" i="12"/>
  <c r="J53" i="12"/>
  <c r="I53" i="12"/>
  <c r="J52" i="12"/>
  <c r="I52" i="12"/>
  <c r="J51" i="12"/>
  <c r="I51" i="12"/>
  <c r="J50" i="12"/>
  <c r="I50" i="12"/>
  <c r="J49" i="12"/>
  <c r="I49" i="12"/>
  <c r="J47" i="12"/>
  <c r="I47" i="12"/>
  <c r="J46" i="12"/>
  <c r="I46" i="12"/>
  <c r="J45" i="12"/>
  <c r="I45" i="12"/>
  <c r="J44" i="12"/>
  <c r="I44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J10" i="12"/>
  <c r="I10" i="12"/>
  <c r="J9" i="12"/>
  <c r="I9" i="12"/>
  <c r="J8" i="12"/>
  <c r="I8" i="12"/>
  <c r="J7" i="12"/>
  <c r="I7" i="12"/>
  <c r="J6" i="12"/>
  <c r="I6" i="12"/>
  <c r="J4" i="12"/>
  <c r="I4" i="12"/>
  <c r="N65" i="12"/>
  <c r="M65" i="12"/>
  <c r="N63" i="12"/>
  <c r="M63" i="12"/>
  <c r="N61" i="12"/>
  <c r="M61" i="12"/>
  <c r="N60" i="12"/>
  <c r="M60" i="12"/>
  <c r="N59" i="12"/>
  <c r="M59" i="12"/>
  <c r="N58" i="12"/>
  <c r="M58" i="12"/>
  <c r="N57" i="12"/>
  <c r="M57" i="12"/>
  <c r="N56" i="12"/>
  <c r="M56" i="12"/>
  <c r="N55" i="12"/>
  <c r="M55" i="12"/>
  <c r="N54" i="12"/>
  <c r="M54" i="12"/>
  <c r="N53" i="12"/>
  <c r="M53" i="12"/>
  <c r="N52" i="12"/>
  <c r="M52" i="12"/>
  <c r="N51" i="12"/>
  <c r="M51" i="12"/>
  <c r="N50" i="12"/>
  <c r="M50" i="12"/>
  <c r="N49" i="12"/>
  <c r="M49" i="12"/>
  <c r="N46" i="12"/>
  <c r="M46" i="12"/>
  <c r="N45" i="12"/>
  <c r="M45" i="12"/>
  <c r="N44" i="12"/>
  <c r="M44" i="12"/>
  <c r="N43" i="12"/>
  <c r="M43" i="12"/>
  <c r="N42" i="12"/>
  <c r="M42" i="12"/>
  <c r="N41" i="12"/>
  <c r="M41" i="12"/>
  <c r="N40" i="12"/>
  <c r="M40" i="12"/>
  <c r="N39" i="12"/>
  <c r="M39" i="12"/>
  <c r="N38" i="12"/>
  <c r="M38" i="12"/>
  <c r="N35" i="12"/>
  <c r="M35" i="12"/>
  <c r="N34" i="12"/>
  <c r="M34" i="12"/>
  <c r="N33" i="12"/>
  <c r="M33" i="12"/>
  <c r="N32" i="12"/>
  <c r="M32" i="12"/>
  <c r="N31" i="12"/>
  <c r="M31" i="12"/>
  <c r="N30" i="12"/>
  <c r="M30" i="12"/>
  <c r="N29" i="12"/>
  <c r="M29" i="12"/>
  <c r="N28" i="12"/>
  <c r="M28" i="12"/>
  <c r="N27" i="12"/>
  <c r="M27" i="12"/>
  <c r="N26" i="12"/>
  <c r="M26" i="12"/>
  <c r="N25" i="12"/>
  <c r="M25" i="12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14" i="12"/>
  <c r="M14" i="12"/>
  <c r="N13" i="12"/>
  <c r="M13" i="12"/>
  <c r="N12" i="12"/>
  <c r="M12" i="12"/>
  <c r="N11" i="12"/>
  <c r="M11" i="12"/>
  <c r="N10" i="12"/>
  <c r="M10" i="12"/>
  <c r="N9" i="12"/>
  <c r="M9" i="12"/>
  <c r="N8" i="12"/>
  <c r="M8" i="12"/>
  <c r="N7" i="12"/>
  <c r="M7" i="12"/>
  <c r="N6" i="12"/>
  <c r="M6" i="12"/>
  <c r="N4" i="12"/>
  <c r="M4" i="12"/>
  <c r="R63" i="12"/>
  <c r="Q63" i="12"/>
  <c r="R59" i="12"/>
  <c r="Q59" i="12"/>
  <c r="R58" i="12"/>
  <c r="Q58" i="12"/>
  <c r="R57" i="12"/>
  <c r="Q57" i="12"/>
  <c r="R56" i="12"/>
  <c r="Q56" i="12"/>
  <c r="R55" i="12"/>
  <c r="Q55" i="12"/>
  <c r="R54" i="12"/>
  <c r="Q54" i="12"/>
  <c r="R53" i="12"/>
  <c r="Q53" i="12"/>
  <c r="R51" i="12"/>
  <c r="Q51" i="12"/>
  <c r="R50" i="12"/>
  <c r="Q50" i="12"/>
  <c r="R49" i="12"/>
  <c r="Q49" i="12"/>
  <c r="R46" i="12"/>
  <c r="Q46" i="12"/>
  <c r="R45" i="12"/>
  <c r="Q45" i="12"/>
  <c r="R44" i="12"/>
  <c r="Q44" i="12"/>
  <c r="R42" i="12"/>
  <c r="Q42" i="12"/>
  <c r="R41" i="12"/>
  <c r="Q41" i="12"/>
  <c r="R40" i="12"/>
  <c r="Q40" i="12"/>
  <c r="R39" i="12"/>
  <c r="Q39" i="12"/>
  <c r="R38" i="12"/>
  <c r="Q38" i="12"/>
  <c r="R35" i="12"/>
  <c r="Q35" i="12"/>
  <c r="R31" i="12"/>
  <c r="Q31" i="12"/>
  <c r="R26" i="12"/>
  <c r="Q26" i="12"/>
  <c r="R25" i="12"/>
  <c r="Q25" i="12"/>
  <c r="R21" i="12"/>
  <c r="Q21" i="12"/>
  <c r="R20" i="12"/>
  <c r="Q20" i="12"/>
  <c r="R19" i="12"/>
  <c r="Q19" i="12"/>
  <c r="R17" i="12"/>
  <c r="Q17" i="12"/>
  <c r="R16" i="12"/>
  <c r="Q16" i="12"/>
  <c r="R15" i="12"/>
  <c r="Q15" i="12"/>
  <c r="R14" i="12"/>
  <c r="Q14" i="12"/>
  <c r="R13" i="12"/>
  <c r="Q13" i="12"/>
  <c r="R12" i="12"/>
  <c r="Q12" i="12"/>
  <c r="R7" i="12"/>
  <c r="Q7" i="12"/>
  <c r="R6" i="12"/>
  <c r="Q6" i="12"/>
  <c r="S63" i="12" l="1"/>
  <c r="S59" i="12"/>
  <c r="S58" i="12"/>
  <c r="S57" i="12"/>
  <c r="S56" i="12"/>
  <c r="S55" i="12"/>
  <c r="S54" i="12"/>
  <c r="S53" i="12"/>
  <c r="S52" i="12"/>
  <c r="S51" i="12"/>
  <c r="S50" i="12"/>
  <c r="S49" i="12"/>
  <c r="S46" i="12"/>
  <c r="S45" i="12"/>
  <c r="S44" i="12"/>
  <c r="S43" i="12"/>
  <c r="S42" i="12"/>
  <c r="S41" i="12"/>
  <c r="S40" i="12"/>
  <c r="S39" i="12"/>
  <c r="S38" i="12"/>
  <c r="S35" i="12"/>
  <c r="S34" i="12"/>
  <c r="S33" i="12"/>
  <c r="S32" i="12"/>
  <c r="S31" i="12"/>
  <c r="S30" i="12"/>
  <c r="S29" i="12"/>
  <c r="S28" i="12"/>
  <c r="S27" i="12"/>
  <c r="S26" i="12"/>
  <c r="S25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4" i="12"/>
  <c r="H63" i="3"/>
  <c r="H62" i="3"/>
  <c r="H61" i="3"/>
  <c r="H60" i="3"/>
  <c r="H59" i="3"/>
  <c r="H58" i="3"/>
  <c r="H57" i="3"/>
  <c r="G64" i="3"/>
  <c r="G63" i="3"/>
  <c r="G62" i="3"/>
  <c r="G61" i="3"/>
  <c r="G60" i="3"/>
  <c r="G59" i="3"/>
  <c r="G58" i="3"/>
  <c r="G57" i="3"/>
  <c r="G56" i="3"/>
  <c r="V25" i="12" l="1"/>
  <c r="U25" i="12"/>
  <c r="U35" i="12"/>
  <c r="V35" i="12"/>
  <c r="V33" i="12"/>
  <c r="U33" i="12"/>
  <c r="V26" i="12"/>
  <c r="U26" i="12"/>
  <c r="U27" i="12"/>
  <c r="V27" i="12"/>
  <c r="U38" i="12"/>
  <c r="V38" i="12"/>
  <c r="V29" i="12"/>
  <c r="U29" i="12"/>
  <c r="V39" i="12"/>
  <c r="U39" i="12"/>
  <c r="V30" i="12"/>
  <c r="U30" i="12"/>
  <c r="V31" i="12"/>
  <c r="U31" i="12"/>
  <c r="V41" i="12"/>
  <c r="U41" i="12"/>
  <c r="V34" i="12"/>
  <c r="U34" i="12"/>
  <c r="U28" i="12"/>
  <c r="V28" i="12"/>
  <c r="V40" i="12"/>
  <c r="U40" i="12"/>
  <c r="V32" i="12"/>
  <c r="U32" i="12"/>
  <c r="V42" i="12"/>
  <c r="U42" i="12"/>
  <c r="AF9" i="1"/>
  <c r="AF6" i="1"/>
  <c r="AF5" i="1"/>
  <c r="AF4" i="1"/>
  <c r="AF3" i="1"/>
  <c r="AF51" i="1" l="1"/>
  <c r="AF50" i="1"/>
  <c r="AF49" i="1"/>
  <c r="AF48" i="1"/>
  <c r="AF47" i="1"/>
  <c r="AF46" i="1"/>
  <c r="AF45" i="1"/>
  <c r="AF43" i="1"/>
  <c r="AF42" i="1"/>
  <c r="AF41" i="1"/>
  <c r="AF40" i="1"/>
  <c r="AF39" i="1"/>
  <c r="AF38" i="1"/>
  <c r="K47" i="12" l="1"/>
  <c r="N47" i="12" l="1"/>
  <c r="M47" i="12"/>
  <c r="K23" i="12"/>
  <c r="K36" i="12" l="1"/>
  <c r="N23" i="12"/>
  <c r="M23" i="12"/>
  <c r="S23" i="12"/>
  <c r="E65" i="3"/>
  <c r="E54" i="3"/>
  <c r="E26" i="3"/>
  <c r="N36" i="12" l="1"/>
  <c r="M36" i="12"/>
  <c r="E67" i="3"/>
  <c r="AE14" i="1" l="1"/>
  <c r="P52" i="1" l="1"/>
  <c r="P43" i="1" l="1"/>
  <c r="P42" i="1"/>
  <c r="P8" i="1"/>
  <c r="F65" i="3" l="1"/>
  <c r="F26" i="3"/>
  <c r="C60" i="12" l="1"/>
  <c r="C61" i="12" s="1"/>
  <c r="C65" i="12" s="1"/>
  <c r="AA52" i="1"/>
  <c r="AA53" i="1" s="1"/>
  <c r="AA44" i="1"/>
  <c r="AA35" i="1"/>
  <c r="AA36" i="1" s="1"/>
  <c r="AA33" i="1"/>
  <c r="AA23" i="1"/>
  <c r="AA11" i="1"/>
  <c r="AA10" i="1"/>
  <c r="AA8" i="1"/>
  <c r="W33" i="1"/>
  <c r="W27" i="1"/>
  <c r="W10" i="1"/>
  <c r="W23" i="1" s="1"/>
  <c r="W29" i="1" s="1"/>
  <c r="W35" i="1" s="1"/>
  <c r="W44" i="1" s="1"/>
  <c r="W8" i="1"/>
  <c r="O10" i="1"/>
  <c r="W52" i="1" l="1"/>
  <c r="W53" i="1" s="1"/>
  <c r="W11" i="1"/>
  <c r="AB32" i="1" l="1"/>
  <c r="AB31" i="1"/>
  <c r="AB26" i="1"/>
  <c r="AB25" i="1"/>
  <c r="AB21" i="1"/>
  <c r="AB33" i="1" l="1"/>
  <c r="AB27" i="1"/>
  <c r="AB18" i="1" l="1"/>
  <c r="AB13" i="1"/>
  <c r="AD9" i="1"/>
  <c r="AB8" i="1"/>
  <c r="AB10" i="1" s="1"/>
  <c r="AB11" i="1" s="1"/>
  <c r="AB19" i="1" l="1"/>
  <c r="AB23" i="1"/>
  <c r="AB29" i="1" s="1"/>
  <c r="AB35" i="1" s="1"/>
  <c r="AB16" i="1"/>
  <c r="AB36" i="1" l="1"/>
  <c r="AB44" i="1"/>
  <c r="AB52" i="1" s="1"/>
  <c r="AF15" i="1"/>
  <c r="AB53" i="1" l="1"/>
  <c r="W36" i="1"/>
  <c r="W19" i="1"/>
  <c r="W16" i="1"/>
  <c r="AF33" i="1" l="1"/>
  <c r="G63" i="12" l="1"/>
  <c r="G60" i="12"/>
  <c r="G61" i="12" s="1"/>
  <c r="S47" i="12"/>
  <c r="S60" i="12"/>
  <c r="G65" i="12" l="1"/>
  <c r="T60" i="12"/>
  <c r="V60" i="12" l="1"/>
  <c r="U60" i="12"/>
  <c r="AE8" i="1"/>
  <c r="AE10" i="1" s="1"/>
  <c r="AE11" i="1" l="1"/>
  <c r="O33" i="1" l="1"/>
  <c r="P33" i="1"/>
  <c r="Q18" i="1"/>
  <c r="O27" i="1"/>
  <c r="O23" i="1"/>
  <c r="P19" i="1"/>
  <c r="P16" i="1"/>
  <c r="O29" i="1" l="1"/>
  <c r="O35" i="1" s="1"/>
  <c r="R51" i="1"/>
  <c r="Q51" i="1"/>
  <c r="R49" i="1"/>
  <c r="Q49" i="1"/>
  <c r="R48" i="1"/>
  <c r="Q48" i="1"/>
  <c r="R47" i="1"/>
  <c r="Q47" i="1"/>
  <c r="R46" i="1"/>
  <c r="Q46" i="1"/>
  <c r="R33" i="1"/>
  <c r="Q33" i="1"/>
  <c r="R32" i="1"/>
  <c r="Q32" i="1"/>
  <c r="R31" i="1"/>
  <c r="Q31" i="1"/>
  <c r="R27" i="1"/>
  <c r="Q27" i="1"/>
  <c r="R26" i="1"/>
  <c r="Q26" i="1"/>
  <c r="R25" i="1"/>
  <c r="Q25" i="1"/>
  <c r="R21" i="1"/>
  <c r="Q21" i="1"/>
  <c r="R18" i="1"/>
  <c r="Q14" i="1"/>
  <c r="R13" i="1"/>
  <c r="Q13" i="1"/>
  <c r="R6" i="1"/>
  <c r="Q6" i="1"/>
  <c r="R5" i="1"/>
  <c r="Q5" i="1"/>
  <c r="R4" i="1"/>
  <c r="Q4" i="1"/>
  <c r="P11" i="1" l="1"/>
  <c r="R10" i="1"/>
  <c r="Q10" i="1"/>
  <c r="P23" i="1"/>
  <c r="P29" i="1" s="1"/>
  <c r="P35" i="1" s="1"/>
  <c r="Q23" i="1" l="1"/>
  <c r="R23" i="1"/>
  <c r="R29" i="1"/>
  <c r="Q29" i="1"/>
  <c r="P36" i="1" l="1"/>
  <c r="P44" i="1"/>
  <c r="R35" i="1"/>
  <c r="Q35" i="1"/>
  <c r="P58" i="12" l="1"/>
  <c r="P51" i="12"/>
  <c r="P46" i="12"/>
  <c r="P40" i="12"/>
  <c r="P35" i="12"/>
  <c r="P25" i="12"/>
  <c r="P21" i="12"/>
  <c r="P7" i="12"/>
  <c r="P59" i="12" l="1"/>
  <c r="P57" i="12"/>
  <c r="P56" i="12"/>
  <c r="P55" i="12"/>
  <c r="P54" i="12"/>
  <c r="P53" i="12"/>
  <c r="P52" i="12"/>
  <c r="P50" i="12"/>
  <c r="P49" i="12"/>
  <c r="P45" i="12"/>
  <c r="P44" i="12"/>
  <c r="P43" i="12"/>
  <c r="P42" i="12"/>
  <c r="P41" i="12"/>
  <c r="P39" i="12"/>
  <c r="P38" i="12"/>
  <c r="P34" i="12"/>
  <c r="P33" i="12"/>
  <c r="P32" i="12"/>
  <c r="P31" i="12"/>
  <c r="P29" i="12"/>
  <c r="P28" i="12"/>
  <c r="P26" i="12"/>
  <c r="P22" i="12"/>
  <c r="P20" i="12"/>
  <c r="P19" i="12"/>
  <c r="P18" i="12"/>
  <c r="P17" i="12"/>
  <c r="P16" i="12"/>
  <c r="P15" i="12"/>
  <c r="P14" i="12"/>
  <c r="P13" i="12"/>
  <c r="P12" i="12"/>
  <c r="P11" i="12"/>
  <c r="P9" i="12"/>
  <c r="P8" i="12"/>
  <c r="P6" i="12"/>
  <c r="P4" i="12"/>
  <c r="Q52" i="12" l="1"/>
  <c r="R52" i="12"/>
  <c r="R43" i="12"/>
  <c r="Q43" i="12"/>
  <c r="R34" i="12"/>
  <c r="Q34" i="12"/>
  <c r="Q33" i="12"/>
  <c r="R33" i="12"/>
  <c r="Q32" i="12"/>
  <c r="R32" i="12"/>
  <c r="Q29" i="12"/>
  <c r="R29" i="12"/>
  <c r="R28" i="12"/>
  <c r="Q28" i="12"/>
  <c r="R22" i="12"/>
  <c r="Q22" i="12"/>
  <c r="R18" i="12"/>
  <c r="Q18" i="12"/>
  <c r="R11" i="12"/>
  <c r="Q11" i="12"/>
  <c r="R9" i="12"/>
  <c r="Q9" i="12"/>
  <c r="R8" i="12"/>
  <c r="Q8" i="12"/>
  <c r="Q4" i="12"/>
  <c r="P47" i="12"/>
  <c r="P60" i="12"/>
  <c r="R4" i="12"/>
  <c r="AD46" i="1"/>
  <c r="AD45" i="1"/>
  <c r="AD43" i="1"/>
  <c r="AC43" i="1"/>
  <c r="AD42" i="1"/>
  <c r="AC40" i="1"/>
  <c r="AD40" i="1"/>
  <c r="AC39" i="1"/>
  <c r="AD36" i="1"/>
  <c r="R60" i="12" l="1"/>
  <c r="Q60" i="12"/>
  <c r="R47" i="12"/>
  <c r="Q47" i="12"/>
  <c r="AC6" i="1"/>
  <c r="AC47" i="1"/>
  <c r="AD49" i="1"/>
  <c r="AC38" i="1"/>
  <c r="AD47" i="1"/>
  <c r="AC4" i="1"/>
  <c r="AD6" i="1"/>
  <c r="AC50" i="1"/>
  <c r="AC48" i="1"/>
  <c r="AD50" i="1"/>
  <c r="AD4" i="1"/>
  <c r="AC46" i="1"/>
  <c r="AD48" i="1"/>
  <c r="AC3" i="1"/>
  <c r="AD3" i="1"/>
  <c r="AD5" i="1"/>
  <c r="AD39" i="1"/>
  <c r="AD41" i="1"/>
  <c r="AC41" i="1"/>
  <c r="AC5" i="1"/>
  <c r="AC45" i="1"/>
  <c r="AC49" i="1"/>
  <c r="AD38" i="1"/>
  <c r="AD8" i="1" l="1"/>
  <c r="AC8" i="1"/>
  <c r="AD33" i="1"/>
  <c r="AC33" i="1"/>
  <c r="AC10" i="1" l="1"/>
  <c r="AD10" i="1"/>
  <c r="AD11" i="1" l="1"/>
  <c r="Z49" i="1" l="1"/>
  <c r="Y49" i="1"/>
  <c r="Z48" i="1"/>
  <c r="Y48" i="1"/>
  <c r="Z47" i="1"/>
  <c r="Y47" i="1"/>
  <c r="Z46" i="1"/>
  <c r="Y46" i="1"/>
  <c r="L33" i="19"/>
  <c r="K33" i="19"/>
  <c r="J33" i="19"/>
  <c r="I33" i="19"/>
  <c r="H33" i="19"/>
  <c r="G33" i="19"/>
  <c r="F33" i="19"/>
  <c r="E33" i="19"/>
  <c r="D33" i="19"/>
  <c r="C33" i="19"/>
  <c r="L27" i="19"/>
  <c r="K27" i="19"/>
  <c r="J27" i="19"/>
  <c r="I27" i="19"/>
  <c r="H27" i="19"/>
  <c r="G27" i="19"/>
  <c r="F27" i="19"/>
  <c r="E27" i="19"/>
  <c r="D27" i="19"/>
  <c r="C27" i="19"/>
  <c r="L23" i="19"/>
  <c r="K23" i="19"/>
  <c r="J23" i="19"/>
  <c r="I23" i="19"/>
  <c r="I29" i="19" s="1"/>
  <c r="H23" i="19"/>
  <c r="G23" i="19"/>
  <c r="F23" i="19"/>
  <c r="F29" i="19" s="1"/>
  <c r="F35" i="19" s="1"/>
  <c r="F44" i="19" s="1"/>
  <c r="F52" i="19" s="1"/>
  <c r="F53" i="19" s="1"/>
  <c r="E23" i="19"/>
  <c r="D23" i="19"/>
  <c r="C23" i="19"/>
  <c r="L8" i="19"/>
  <c r="L11" i="19" s="1"/>
  <c r="K8" i="19"/>
  <c r="K11" i="19" s="1"/>
  <c r="J8" i="19"/>
  <c r="J11" i="19" s="1"/>
  <c r="I8" i="19"/>
  <c r="H8" i="19"/>
  <c r="H11" i="19" s="1"/>
  <c r="G8" i="19"/>
  <c r="G11" i="19" s="1"/>
  <c r="F8" i="19"/>
  <c r="F11" i="19" s="1"/>
  <c r="E8" i="19"/>
  <c r="E11" i="19" s="1"/>
  <c r="D8" i="19"/>
  <c r="D11" i="19" s="1"/>
  <c r="C8" i="19"/>
  <c r="C11" i="19" s="1"/>
  <c r="D29" i="19" l="1"/>
  <c r="D35" i="19" s="1"/>
  <c r="D44" i="19" s="1"/>
  <c r="D52" i="19" s="1"/>
  <c r="D53" i="19" s="1"/>
  <c r="L29" i="19"/>
  <c r="L35" i="19" s="1"/>
  <c r="L44" i="19" s="1"/>
  <c r="L52" i="19" s="1"/>
  <c r="L53" i="19" s="1"/>
  <c r="I35" i="19"/>
  <c r="I44" i="19" s="1"/>
  <c r="I52" i="19" s="1"/>
  <c r="I53" i="19" s="1"/>
  <c r="J29" i="19"/>
  <c r="J35" i="19" s="1"/>
  <c r="J44" i="19" s="1"/>
  <c r="J52" i="19" s="1"/>
  <c r="J53" i="19" s="1"/>
  <c r="E29" i="19"/>
  <c r="E35" i="19" s="1"/>
  <c r="E44" i="19" s="1"/>
  <c r="E52" i="19" s="1"/>
  <c r="E53" i="19" s="1"/>
  <c r="G29" i="19"/>
  <c r="G35" i="19" s="1"/>
  <c r="G44" i="19" s="1"/>
  <c r="G52" i="19" s="1"/>
  <c r="G53" i="19" s="1"/>
  <c r="H29" i="19"/>
  <c r="H35" i="19" s="1"/>
  <c r="H44" i="19" s="1"/>
  <c r="H52" i="19" s="1"/>
  <c r="H53" i="19" s="1"/>
  <c r="C29" i="19"/>
  <c r="C35" i="19" s="1"/>
  <c r="C44" i="19" s="1"/>
  <c r="C52" i="19" s="1"/>
  <c r="C53" i="19" s="1"/>
  <c r="K29" i="19"/>
  <c r="K35" i="19" s="1"/>
  <c r="K44" i="19" s="1"/>
  <c r="K52" i="19" s="1"/>
  <c r="K53" i="19" s="1"/>
  <c r="I16" i="19"/>
  <c r="I11" i="19"/>
  <c r="G5" i="3" l="1"/>
  <c r="H5" i="3"/>
  <c r="L33" i="1" l="1"/>
  <c r="K33" i="1"/>
  <c r="J33" i="1"/>
  <c r="I33" i="1"/>
  <c r="H33" i="1"/>
  <c r="G33" i="1"/>
  <c r="F33" i="1"/>
  <c r="E33" i="1"/>
  <c r="D33" i="1"/>
  <c r="C33" i="1"/>
  <c r="L27" i="1"/>
  <c r="K27" i="1"/>
  <c r="J27" i="1"/>
  <c r="I27" i="1"/>
  <c r="H27" i="1"/>
  <c r="G27" i="1"/>
  <c r="F27" i="1"/>
  <c r="E27" i="1"/>
  <c r="D27" i="1"/>
  <c r="C27" i="1"/>
  <c r="L23" i="1"/>
  <c r="K23" i="1"/>
  <c r="J23" i="1"/>
  <c r="I23" i="1"/>
  <c r="H23" i="1"/>
  <c r="G23" i="1"/>
  <c r="F23" i="1"/>
  <c r="E23" i="1"/>
  <c r="D23" i="1"/>
  <c r="D29" i="1" s="1"/>
  <c r="C23" i="1"/>
  <c r="L8" i="1"/>
  <c r="L11" i="1" s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  <c r="D8" i="1"/>
  <c r="D11" i="1" s="1"/>
  <c r="C8" i="1"/>
  <c r="C11" i="1" s="1"/>
  <c r="D35" i="1" l="1"/>
  <c r="D44" i="1" s="1"/>
  <c r="D52" i="1" s="1"/>
  <c r="D53" i="1" s="1"/>
  <c r="G29" i="1"/>
  <c r="G35" i="1" s="1"/>
  <c r="G44" i="1" s="1"/>
  <c r="G52" i="1" s="1"/>
  <c r="G53" i="1" s="1"/>
  <c r="I29" i="1"/>
  <c r="I35" i="1" s="1"/>
  <c r="I44" i="1" s="1"/>
  <c r="I52" i="1" s="1"/>
  <c r="I53" i="1" s="1"/>
  <c r="L29" i="1"/>
  <c r="L35" i="1" s="1"/>
  <c r="L44" i="1" s="1"/>
  <c r="L52" i="1" s="1"/>
  <c r="L53" i="1" s="1"/>
  <c r="F29" i="1"/>
  <c r="F35" i="1" s="1"/>
  <c r="F44" i="1" s="1"/>
  <c r="F52" i="1" s="1"/>
  <c r="F53" i="1" s="1"/>
  <c r="E29" i="1"/>
  <c r="E35" i="1" s="1"/>
  <c r="E44" i="1" s="1"/>
  <c r="E52" i="1" s="1"/>
  <c r="E53" i="1" s="1"/>
  <c r="H29" i="1"/>
  <c r="H35" i="1" s="1"/>
  <c r="H44" i="1" s="1"/>
  <c r="H52" i="1" s="1"/>
  <c r="H53" i="1" s="1"/>
  <c r="I16" i="1"/>
  <c r="J29" i="1"/>
  <c r="J35" i="1" s="1"/>
  <c r="J44" i="1" s="1"/>
  <c r="J52" i="1" s="1"/>
  <c r="J53" i="1" s="1"/>
  <c r="C29" i="1"/>
  <c r="C35" i="1" s="1"/>
  <c r="C44" i="1" s="1"/>
  <c r="C52" i="1" s="1"/>
  <c r="C53" i="1" s="1"/>
  <c r="K29" i="1"/>
  <c r="K35" i="1" s="1"/>
  <c r="K44" i="1" s="1"/>
  <c r="K52" i="1" s="1"/>
  <c r="K53" i="1" s="1"/>
  <c r="T47" i="12" l="1"/>
  <c r="V47" i="12" l="1"/>
  <c r="U47" i="12"/>
  <c r="AE15" i="1"/>
  <c r="H64" i="3" l="1"/>
  <c r="I68" i="12" l="1"/>
  <c r="J68" i="12"/>
  <c r="F69" i="12"/>
  <c r="E69" i="12"/>
  <c r="I69" i="12"/>
  <c r="F70" i="12"/>
  <c r="E70" i="12"/>
  <c r="I70" i="12"/>
  <c r="F71" i="12"/>
  <c r="E71" i="12"/>
  <c r="I71" i="12"/>
  <c r="F72" i="12"/>
  <c r="E72" i="12"/>
  <c r="I72" i="12"/>
  <c r="F73" i="12"/>
  <c r="E73" i="12"/>
  <c r="I73" i="12"/>
  <c r="E74" i="12"/>
  <c r="I74" i="12"/>
  <c r="F75" i="12"/>
  <c r="E75" i="12"/>
  <c r="J75" i="12"/>
  <c r="I75" i="12"/>
  <c r="E76" i="12"/>
  <c r="I76" i="12"/>
  <c r="E88" i="12"/>
  <c r="F74" i="12" l="1"/>
  <c r="F76" i="12"/>
  <c r="G51" i="3" l="1"/>
  <c r="G42" i="3"/>
  <c r="G41" i="3"/>
  <c r="G39" i="3"/>
  <c r="G19" i="3"/>
  <c r="G10" i="3"/>
  <c r="G44" i="3" l="1"/>
  <c r="G53" i="3"/>
  <c r="G52" i="3"/>
  <c r="G50" i="3"/>
  <c r="G65" i="3"/>
  <c r="H52" i="3" l="1"/>
  <c r="H51" i="3"/>
  <c r="H19" i="3"/>
  <c r="H10" i="3"/>
  <c r="H42" i="3" l="1"/>
  <c r="H50" i="3"/>
  <c r="H39" i="3"/>
  <c r="H41" i="3"/>
  <c r="H44" i="3"/>
  <c r="H53" i="3" l="1"/>
  <c r="G14" i="3" l="1"/>
  <c r="G13" i="3"/>
  <c r="G20" i="3"/>
  <c r="G7" i="3"/>
  <c r="G8" i="3"/>
  <c r="G9" i="3"/>
  <c r="G17" i="3"/>
  <c r="G18" i="3"/>
  <c r="G11" i="3"/>
  <c r="G21" i="3"/>
  <c r="G12" i="3"/>
  <c r="G22" i="3"/>
  <c r="G45" i="3"/>
  <c r="G33" i="3"/>
  <c r="G37" i="3"/>
  <c r="G46" i="3"/>
  <c r="G49" i="3"/>
  <c r="G34" i="3"/>
  <c r="G38" i="3"/>
  <c r="G47" i="3"/>
  <c r="G36" i="3"/>
  <c r="G30" i="3"/>
  <c r="G35" i="3"/>
  <c r="G40" i="3"/>
  <c r="G48" i="3"/>
  <c r="H21" i="3"/>
  <c r="H18" i="3"/>
  <c r="H22" i="3"/>
  <c r="H20" i="3"/>
  <c r="H24" i="3"/>
  <c r="H36" i="3"/>
  <c r="H25" i="3"/>
  <c r="H33" i="3"/>
  <c r="H37" i="3"/>
  <c r="H48" i="3"/>
  <c r="H45" i="3"/>
  <c r="H49" i="3"/>
  <c r="H46" i="3"/>
  <c r="H47" i="3"/>
  <c r="H30" i="3"/>
  <c r="H35" i="3"/>
  <c r="H40" i="3"/>
  <c r="H34" i="3"/>
  <c r="H38" i="3"/>
  <c r="H9" i="3"/>
  <c r="H13" i="3"/>
  <c r="H11" i="3"/>
  <c r="H14" i="3"/>
  <c r="H7" i="3"/>
  <c r="H12" i="3"/>
  <c r="H8" i="3"/>
  <c r="H6" i="3"/>
  <c r="G6" i="3"/>
  <c r="H17" i="3" l="1"/>
  <c r="G24" i="3"/>
  <c r="G25" i="3"/>
  <c r="H56" i="3"/>
  <c r="U75" i="12"/>
  <c r="V68" i="12"/>
  <c r="U68" i="12"/>
  <c r="U72" i="12"/>
  <c r="U69" i="12"/>
  <c r="U73" i="12"/>
  <c r="U71" i="12"/>
  <c r="U70" i="12"/>
  <c r="U76" i="12"/>
  <c r="U74" i="12"/>
  <c r="R79" i="18"/>
  <c r="R78" i="18"/>
  <c r="I63" i="18"/>
  <c r="E63" i="18"/>
  <c r="C63" i="18"/>
  <c r="I54" i="18"/>
  <c r="E54" i="18"/>
  <c r="C54" i="18"/>
  <c r="N53" i="18"/>
  <c r="P44" i="18"/>
  <c r="P43" i="18"/>
  <c r="O35" i="18"/>
  <c r="G35" i="18"/>
  <c r="O32" i="18"/>
  <c r="K30" i="18"/>
  <c r="O28" i="18"/>
  <c r="N22" i="18"/>
  <c r="I22" i="18"/>
  <c r="I33" i="18" s="1"/>
  <c r="I39" i="18" s="1"/>
  <c r="E22" i="18"/>
  <c r="E33" i="18" s="1"/>
  <c r="E39" i="18" s="1"/>
  <c r="N21" i="18"/>
  <c r="N16" i="18"/>
  <c r="P16" i="18" s="1"/>
  <c r="P10" i="18"/>
  <c r="N9" i="18"/>
  <c r="N6" i="18"/>
  <c r="N44" i="16"/>
  <c r="N42" i="16"/>
  <c r="N45" i="16" s="1"/>
  <c r="F39" i="16"/>
  <c r="H34" i="16"/>
  <c r="F34" i="16"/>
  <c r="J24" i="16"/>
  <c r="I24" i="16"/>
  <c r="J23" i="16"/>
  <c r="I23" i="16"/>
  <c r="J22" i="16"/>
  <c r="I22" i="16"/>
  <c r="J21" i="16"/>
  <c r="I21" i="16"/>
  <c r="J19" i="16"/>
  <c r="I19" i="16"/>
  <c r="H18" i="16"/>
  <c r="I18" i="16" s="1"/>
  <c r="F18" i="16"/>
  <c r="J18" i="16" s="1"/>
  <c r="D18" i="16"/>
  <c r="B18" i="16"/>
  <c r="J17" i="16"/>
  <c r="I17" i="16"/>
  <c r="J16" i="16"/>
  <c r="I16" i="16"/>
  <c r="J15" i="16"/>
  <c r="I15" i="16"/>
  <c r="D14" i="16"/>
  <c r="D20" i="16" s="1"/>
  <c r="D25" i="16" s="1"/>
  <c r="B14" i="16"/>
  <c r="B20" i="16" s="1"/>
  <c r="B25" i="16" s="1"/>
  <c r="J13" i="16"/>
  <c r="I13" i="16"/>
  <c r="J12" i="16"/>
  <c r="I12" i="16"/>
  <c r="J11" i="16"/>
  <c r="I11" i="16"/>
  <c r="J10" i="16"/>
  <c r="I10" i="16"/>
  <c r="J9" i="16"/>
  <c r="I9" i="16"/>
  <c r="H8" i="16"/>
  <c r="F8" i="16"/>
  <c r="J6" i="16"/>
  <c r="I6" i="16"/>
  <c r="K271" i="14"/>
  <c r="K270" i="14"/>
  <c r="K266" i="14"/>
  <c r="K265" i="14"/>
  <c r="K264" i="14"/>
  <c r="K244" i="14"/>
  <c r="K263" i="14" s="1"/>
  <c r="K239" i="14"/>
  <c r="K235" i="14"/>
  <c r="K232" i="14"/>
  <c r="K225" i="14"/>
  <c r="K219" i="14"/>
  <c r="K224" i="14" s="1"/>
  <c r="AJ145" i="14"/>
  <c r="AI145" i="14"/>
  <c r="AH145" i="14"/>
  <c r="AG145" i="14"/>
  <c r="AF145" i="14"/>
  <c r="AE145" i="14"/>
  <c r="AD145" i="14"/>
  <c r="AC145" i="14"/>
  <c r="AD144" i="14"/>
  <c r="AK143" i="14"/>
  <c r="AJ143" i="14"/>
  <c r="AI143" i="14"/>
  <c r="AH143" i="14"/>
  <c r="AG143" i="14"/>
  <c r="AF143" i="14"/>
  <c r="AE143" i="14"/>
  <c r="AD143" i="14"/>
  <c r="AC143" i="14"/>
  <c r="AH142" i="14"/>
  <c r="AG142" i="14"/>
  <c r="AF142" i="14"/>
  <c r="AE142" i="14"/>
  <c r="AD142" i="14"/>
  <c r="AC142" i="14"/>
  <c r="AI142" i="14"/>
  <c r="AJ141" i="14"/>
  <c r="AI141" i="14"/>
  <c r="AH141" i="14"/>
  <c r="AG141" i="14"/>
  <c r="AF141" i="14"/>
  <c r="AE141" i="14"/>
  <c r="AD141" i="14"/>
  <c r="AC141" i="14"/>
  <c r="AK141" i="14"/>
  <c r="AJ140" i="14"/>
  <c r="AI140" i="14"/>
  <c r="AH140" i="14"/>
  <c r="AG140" i="14"/>
  <c r="AF140" i="14"/>
  <c r="AE140" i="14"/>
  <c r="AD140" i="14"/>
  <c r="AC140" i="14"/>
  <c r="AK140" i="14"/>
  <c r="AJ139" i="14"/>
  <c r="AH139" i="14"/>
  <c r="AG139" i="14"/>
  <c r="AF139" i="14"/>
  <c r="AE139" i="14"/>
  <c r="AD139" i="14"/>
  <c r="AC139" i="14"/>
  <c r="AI139" i="14"/>
  <c r="AJ138" i="14"/>
  <c r="AI138" i="14"/>
  <c r="AH138" i="14"/>
  <c r="AG138" i="14"/>
  <c r="AF138" i="14"/>
  <c r="AE138" i="14"/>
  <c r="AD138" i="14"/>
  <c r="AC138" i="14"/>
  <c r="AK138" i="14"/>
  <c r="AK137" i="14"/>
  <c r="AJ137" i="14"/>
  <c r="AI137" i="14"/>
  <c r="AH137" i="14"/>
  <c r="AG137" i="14"/>
  <c r="AF137" i="14"/>
  <c r="AE137" i="14"/>
  <c r="AD137" i="14"/>
  <c r="AC137" i="14"/>
  <c r="AE136" i="14"/>
  <c r="AK135" i="14"/>
  <c r="AJ135" i="14"/>
  <c r="AI135" i="14"/>
  <c r="AH135" i="14"/>
  <c r="AG135" i="14"/>
  <c r="AF135" i="14"/>
  <c r="AE135" i="14"/>
  <c r="AD135" i="14"/>
  <c r="AC135" i="14"/>
  <c r="AJ134" i="14"/>
  <c r="AH134" i="14"/>
  <c r="AG134" i="14"/>
  <c r="AF134" i="14"/>
  <c r="AE134" i="14"/>
  <c r="AD134" i="14"/>
  <c r="AC134" i="14"/>
  <c r="AK133" i="14"/>
  <c r="AJ133" i="14"/>
  <c r="AI133" i="14"/>
  <c r="AH133" i="14"/>
  <c r="AG133" i="14"/>
  <c r="AF133" i="14"/>
  <c r="AE133" i="14"/>
  <c r="AD133" i="14"/>
  <c r="AC133" i="14"/>
  <c r="AK131" i="14"/>
  <c r="AJ131" i="14"/>
  <c r="AI131" i="14"/>
  <c r="AH131" i="14"/>
  <c r="AG131" i="14"/>
  <c r="AF131" i="14"/>
  <c r="AE131" i="14"/>
  <c r="AD131" i="14"/>
  <c r="AC131" i="14"/>
  <c r="AK130" i="14"/>
  <c r="AJ130" i="14"/>
  <c r="AI130" i="14"/>
  <c r="AH130" i="14"/>
  <c r="AG130" i="14"/>
  <c r="AF130" i="14"/>
  <c r="AE130" i="14"/>
  <c r="AD130" i="14"/>
  <c r="AC130" i="14"/>
  <c r="AJ129" i="14"/>
  <c r="AH129" i="14"/>
  <c r="AG129" i="14"/>
  <c r="AF129" i="14"/>
  <c r="AE129" i="14"/>
  <c r="AD129" i="14"/>
  <c r="AC129" i="14"/>
  <c r="AK128" i="14"/>
  <c r="AJ128" i="14"/>
  <c r="AI128" i="14"/>
  <c r="AH128" i="14"/>
  <c r="AG128" i="14"/>
  <c r="AF128" i="14"/>
  <c r="AE128" i="14"/>
  <c r="AD128" i="14"/>
  <c r="AC128" i="14"/>
  <c r="AH127" i="14"/>
  <c r="AG127" i="14"/>
  <c r="AF127" i="14"/>
  <c r="AD127" i="14"/>
  <c r="AJ127" i="14"/>
  <c r="AI127" i="14"/>
  <c r="AE127" i="14"/>
  <c r="AC127" i="14"/>
  <c r="AK126" i="14"/>
  <c r="AJ126" i="14"/>
  <c r="AH126" i="14"/>
  <c r="AG126" i="14"/>
  <c r="AF126" i="14"/>
  <c r="AE126" i="14"/>
  <c r="AD126" i="14"/>
  <c r="AC126" i="14"/>
  <c r="AI126" i="14"/>
  <c r="AJ125" i="14"/>
  <c r="AH125" i="14"/>
  <c r="AG125" i="14"/>
  <c r="AF125" i="14"/>
  <c r="AE125" i="14"/>
  <c r="AD125" i="14"/>
  <c r="AC125" i="14"/>
  <c r="AI125" i="14"/>
  <c r="AJ124" i="14"/>
  <c r="AI124" i="14"/>
  <c r="AH124" i="14"/>
  <c r="AG124" i="14"/>
  <c r="AF124" i="14"/>
  <c r="AE124" i="14"/>
  <c r="AD124" i="14"/>
  <c r="AC124" i="14"/>
  <c r="AK124" i="14"/>
  <c r="AJ123" i="14"/>
  <c r="AI123" i="14"/>
  <c r="AH123" i="14"/>
  <c r="AG123" i="14"/>
  <c r="AF123" i="14"/>
  <c r="AE123" i="14"/>
  <c r="AD123" i="14"/>
  <c r="AC123" i="14"/>
  <c r="AK122" i="14"/>
  <c r="AJ122" i="14"/>
  <c r="AI122" i="14"/>
  <c r="AH122" i="14"/>
  <c r="AG122" i="14"/>
  <c r="AF122" i="14"/>
  <c r="AE122" i="14"/>
  <c r="AD122" i="14"/>
  <c r="AC122" i="14"/>
  <c r="AH121" i="14"/>
  <c r="AG121" i="14"/>
  <c r="AE121" i="14"/>
  <c r="AD121" i="14"/>
  <c r="AJ121" i="14"/>
  <c r="AF121" i="14"/>
  <c r="AC121" i="14"/>
  <c r="AK120" i="14"/>
  <c r="AJ120" i="14"/>
  <c r="AH120" i="14"/>
  <c r="AG120" i="14"/>
  <c r="AF120" i="14"/>
  <c r="AE120" i="14"/>
  <c r="AD120" i="14"/>
  <c r="AC120" i="14"/>
  <c r="AI120" i="14"/>
  <c r="AJ119" i="14"/>
  <c r="AI119" i="14"/>
  <c r="AH119" i="14"/>
  <c r="AG119" i="14"/>
  <c r="AF119" i="14"/>
  <c r="AE119" i="14"/>
  <c r="AD119" i="14"/>
  <c r="AC119" i="14"/>
  <c r="AK119" i="14"/>
  <c r="AJ118" i="14"/>
  <c r="AH118" i="14"/>
  <c r="AG118" i="14"/>
  <c r="AF118" i="14"/>
  <c r="AE118" i="14"/>
  <c r="AD118" i="14"/>
  <c r="AC118" i="14"/>
  <c r="AK117" i="14"/>
  <c r="AJ117" i="14"/>
  <c r="AI117" i="14"/>
  <c r="AH117" i="14"/>
  <c r="AG117" i="14"/>
  <c r="AF117" i="14"/>
  <c r="AE117" i="14"/>
  <c r="AD117" i="14"/>
  <c r="AC117" i="14"/>
  <c r="AK116" i="14"/>
  <c r="AJ116" i="14"/>
  <c r="AI116" i="14"/>
  <c r="AH116" i="14"/>
  <c r="AG116" i="14"/>
  <c r="AF116" i="14"/>
  <c r="AE116" i="14"/>
  <c r="AD116" i="14"/>
  <c r="AC116" i="14"/>
  <c r="AK115" i="14"/>
  <c r="AJ115" i="14"/>
  <c r="AI115" i="14"/>
  <c r="AH115" i="14"/>
  <c r="AG115" i="14"/>
  <c r="AF115" i="14"/>
  <c r="AE115" i="14"/>
  <c r="AD115" i="14"/>
  <c r="AC115" i="14"/>
  <c r="AJ114" i="14"/>
  <c r="AH114" i="14"/>
  <c r="AG114" i="14"/>
  <c r="AF114" i="14"/>
  <c r="AE114" i="14"/>
  <c r="AD114" i="14"/>
  <c r="AC114" i="14"/>
  <c r="AK113" i="14"/>
  <c r="AJ113" i="14"/>
  <c r="AH113" i="14"/>
  <c r="AG113" i="14"/>
  <c r="AF113" i="14"/>
  <c r="AE113" i="14"/>
  <c r="AD113" i="14"/>
  <c r="AC113" i="14"/>
  <c r="AI113" i="14"/>
  <c r="AK112" i="14"/>
  <c r="AJ112" i="14"/>
  <c r="AI112" i="14"/>
  <c r="AH112" i="14"/>
  <c r="AG112" i="14"/>
  <c r="AF112" i="14"/>
  <c r="AE112" i="14"/>
  <c r="AD112" i="14"/>
  <c r="AC112" i="14"/>
  <c r="AH111" i="14"/>
  <c r="AG111" i="14"/>
  <c r="AF111" i="14"/>
  <c r="AE111" i="14"/>
  <c r="AD111" i="14"/>
  <c r="AK110" i="14"/>
  <c r="AJ110" i="14"/>
  <c r="AI110" i="14"/>
  <c r="AH110" i="14"/>
  <c r="AG110" i="14"/>
  <c r="AF110" i="14"/>
  <c r="AE110" i="14"/>
  <c r="AD110" i="14"/>
  <c r="AC110" i="14"/>
  <c r="AG109" i="14"/>
  <c r="AH109" i="14"/>
  <c r="AF132" i="14"/>
  <c r="AD136" i="14"/>
  <c r="AK108" i="14"/>
  <c r="AJ108" i="14"/>
  <c r="AI108" i="14"/>
  <c r="AH108" i="14"/>
  <c r="AG108" i="14"/>
  <c r="AF108" i="14"/>
  <c r="AE108" i="14"/>
  <c r="AD108" i="14"/>
  <c r="AC108" i="14"/>
  <c r="AK107" i="14"/>
  <c r="AJ107" i="14"/>
  <c r="AI107" i="14"/>
  <c r="AH107" i="14"/>
  <c r="AG107" i="14"/>
  <c r="AF107" i="14"/>
  <c r="AE107" i="14"/>
  <c r="AD107" i="14"/>
  <c r="AC107" i="14"/>
  <c r="AH106" i="14"/>
  <c r="AG106" i="14"/>
  <c r="AF106" i="14"/>
  <c r="AE106" i="14"/>
  <c r="AD106" i="14"/>
  <c r="AE132" i="14"/>
  <c r="AK105" i="14"/>
  <c r="AJ105" i="14"/>
  <c r="AI105" i="14"/>
  <c r="AH105" i="14"/>
  <c r="AG105" i="14"/>
  <c r="AF105" i="14"/>
  <c r="AE105" i="14"/>
  <c r="AD105" i="14"/>
  <c r="AC105" i="14"/>
  <c r="AJ104" i="14"/>
  <c r="AI104" i="14"/>
  <c r="AH104" i="14"/>
  <c r="AG104" i="14"/>
  <c r="AF104" i="14"/>
  <c r="AE104" i="14"/>
  <c r="AD104" i="14"/>
  <c r="AC104" i="14"/>
  <c r="AK104" i="14"/>
  <c r="AJ103" i="14"/>
  <c r="AH103" i="14"/>
  <c r="AG103" i="14"/>
  <c r="AF103" i="14"/>
  <c r="AE103" i="14"/>
  <c r="AD103" i="14"/>
  <c r="AC103" i="14"/>
  <c r="AI103" i="14"/>
  <c r="AK102" i="14"/>
  <c r="AJ102" i="14"/>
  <c r="AI102" i="14"/>
  <c r="AH102" i="14"/>
  <c r="AG102" i="14"/>
  <c r="AF102" i="14"/>
  <c r="AE102" i="14"/>
  <c r="AD102" i="14"/>
  <c r="AC102" i="14"/>
  <c r="AJ101" i="14"/>
  <c r="AH101" i="14"/>
  <c r="AG101" i="14"/>
  <c r="AF101" i="14"/>
  <c r="AE101" i="14"/>
  <c r="AD101" i="14"/>
  <c r="U219" i="14"/>
  <c r="AC111" i="14"/>
  <c r="AJ111" i="14"/>
  <c r="AI111" i="14"/>
  <c r="AE144" i="14"/>
  <c r="AC106" i="14"/>
  <c r="AE109" i="14"/>
  <c r="AJ142" i="14"/>
  <c r="AK142" i="14"/>
  <c r="AK103" i="14"/>
  <c r="AF109" i="14"/>
  <c r="AK123" i="14"/>
  <c r="AI134" i="14"/>
  <c r="AK134" i="14"/>
  <c r="AF136" i="14"/>
  <c r="AF144" i="14"/>
  <c r="AI129" i="14"/>
  <c r="AK129" i="14"/>
  <c r="AI114" i="14"/>
  <c r="AJ106" i="14"/>
  <c r="AD132" i="14"/>
  <c r="AK139" i="14"/>
  <c r="AI118" i="14"/>
  <c r="AG132" i="14"/>
  <c r="AD109" i="14"/>
  <c r="AI121" i="14"/>
  <c r="AC101" i="14"/>
  <c r="AC109" i="14"/>
  <c r="AK111" i="14"/>
  <c r="AJ109" i="14"/>
  <c r="V219" i="14"/>
  <c r="AI101" i="14"/>
  <c r="AG136" i="14"/>
  <c r="AG144" i="14"/>
  <c r="AK125" i="14"/>
  <c r="AK114" i="14"/>
  <c r="AK127" i="14"/>
  <c r="AK118" i="14"/>
  <c r="AK121" i="14"/>
  <c r="AH132" i="14"/>
  <c r="AI106" i="14"/>
  <c r="AH144" i="14"/>
  <c r="AH136" i="14"/>
  <c r="AC132" i="14"/>
  <c r="AJ132" i="14"/>
  <c r="AK101" i="14"/>
  <c r="AK106" i="14"/>
  <c r="AJ144" i="14"/>
  <c r="AJ136" i="14"/>
  <c r="AI109" i="14"/>
  <c r="U217" i="14"/>
  <c r="AC144" i="14"/>
  <c r="AC136" i="14"/>
  <c r="AI132" i="14"/>
  <c r="AK109" i="14"/>
  <c r="AI144" i="14"/>
  <c r="AI136" i="14"/>
  <c r="AK132" i="14"/>
  <c r="V217" i="14"/>
  <c r="AK136" i="14"/>
  <c r="AK145" i="14"/>
  <c r="AK144" i="14"/>
  <c r="F42" i="16" l="1"/>
  <c r="K229" i="14"/>
  <c r="K251" i="14" s="1"/>
  <c r="I65" i="18"/>
  <c r="I69" i="18" s="1"/>
  <c r="P9" i="18"/>
  <c r="E65" i="18"/>
  <c r="E69" i="18" s="1"/>
  <c r="G54" i="18"/>
  <c r="N10" i="18"/>
  <c r="V221" i="14"/>
  <c r="V223" i="14" s="1"/>
  <c r="C22" i="18"/>
  <c r="C33" i="18" s="1"/>
  <c r="C39" i="18" s="1"/>
  <c r="C65" i="18" s="1"/>
  <c r="C69" i="18" s="1"/>
  <c r="G63" i="18"/>
  <c r="V224" i="14"/>
  <c r="J8" i="16"/>
  <c r="F14" i="16"/>
  <c r="U221" i="14"/>
  <c r="U223" i="14" s="1"/>
  <c r="U224" i="14"/>
  <c r="G22" i="18"/>
  <c r="G33" i="18" s="1"/>
  <c r="G39" i="18" s="1"/>
  <c r="H14" i="16"/>
  <c r="I8" i="16"/>
  <c r="K258" i="14" l="1"/>
  <c r="K252" i="14"/>
  <c r="G65" i="18"/>
  <c r="G69" i="18" s="1"/>
  <c r="I14" i="16"/>
  <c r="H20" i="16"/>
  <c r="J14" i="16"/>
  <c r="F20" i="16"/>
  <c r="G26" i="3"/>
  <c r="H26" i="3"/>
  <c r="G72" i="18"/>
  <c r="H65" i="3"/>
  <c r="K259" i="14" l="1"/>
  <c r="K267" i="14"/>
  <c r="G71" i="18"/>
  <c r="G73" i="18" s="1"/>
  <c r="H25" i="16"/>
  <c r="I25" i="16" s="1"/>
  <c r="I20" i="16"/>
  <c r="J20" i="16"/>
  <c r="F25" i="16"/>
  <c r="J25" i="16" s="1"/>
  <c r="K272" i="14" l="1"/>
  <c r="K273" i="14" s="1"/>
  <c r="K268" i="14"/>
  <c r="T73" i="12" l="1"/>
  <c r="J73" i="12" l="1"/>
  <c r="V73" i="12"/>
  <c r="T72" i="12" l="1"/>
  <c r="I88" i="12"/>
  <c r="J72" i="12"/>
  <c r="V72" i="12" l="1"/>
  <c r="J71" i="12" l="1"/>
  <c r="J70" i="12"/>
  <c r="T69" i="12" l="1"/>
  <c r="V69" i="12" l="1"/>
  <c r="J69" i="12" l="1"/>
  <c r="J74" i="12" l="1"/>
  <c r="J76" i="12"/>
  <c r="AH47" i="1" l="1"/>
  <c r="AH49" i="1"/>
  <c r="AH48" i="1"/>
  <c r="AG48" i="1"/>
  <c r="AG51" i="1"/>
  <c r="AH46" i="1"/>
  <c r="AG46" i="1"/>
  <c r="AG49" i="1" l="1"/>
  <c r="AG47" i="1"/>
  <c r="AH51" i="1"/>
  <c r="AC14" i="1" l="1"/>
  <c r="T75" i="12" l="1"/>
  <c r="AD14" i="1"/>
  <c r="V75" i="12" l="1"/>
  <c r="AC23" i="1"/>
  <c r="AD23" i="1"/>
  <c r="AC29" i="1" l="1"/>
  <c r="AD29" i="1"/>
  <c r="AD35" i="1" l="1"/>
  <c r="AC35" i="1"/>
  <c r="AD44" i="1" l="1"/>
  <c r="AC44" i="1"/>
  <c r="AD53" i="1" l="1"/>
  <c r="AC52" i="1"/>
  <c r="AD52" i="1"/>
  <c r="R3" i="1" l="1"/>
  <c r="Q3" i="1"/>
  <c r="O8" i="1"/>
  <c r="O11" i="1" l="1"/>
  <c r="R11" i="1" s="1"/>
  <c r="O19" i="1"/>
  <c r="R19" i="1" s="1"/>
  <c r="O16" i="1"/>
  <c r="R16" i="1" s="1"/>
  <c r="O36" i="1"/>
  <c r="R36" i="1" s="1"/>
  <c r="Q8" i="1"/>
  <c r="R8" i="1"/>
  <c r="P53" i="1" l="1"/>
  <c r="R45" i="1" l="1"/>
  <c r="Q45" i="1"/>
  <c r="R43" i="1"/>
  <c r="Q43" i="1"/>
  <c r="Q39" i="1"/>
  <c r="R39" i="1"/>
  <c r="R50" i="1"/>
  <c r="Q50" i="1"/>
  <c r="R41" i="1"/>
  <c r="Q41" i="1"/>
  <c r="R42" i="1"/>
  <c r="Q42" i="1"/>
  <c r="O44" i="1"/>
  <c r="R38" i="1"/>
  <c r="Q38" i="1"/>
  <c r="R40" i="1"/>
  <c r="Q40" i="1"/>
  <c r="O52" i="1" l="1"/>
  <c r="Q44" i="1"/>
  <c r="R44" i="1"/>
  <c r="O53" i="1" l="1"/>
  <c r="R53" i="1" s="1"/>
  <c r="Q52" i="1"/>
  <c r="R52" i="1"/>
  <c r="Y25" i="1" l="1"/>
  <c r="Z25" i="1"/>
  <c r="Y32" i="1"/>
  <c r="Z32" i="1"/>
  <c r="Y26" i="1" l="1"/>
  <c r="Z26" i="1"/>
  <c r="Z31" i="1"/>
  <c r="Y33" i="1" l="1"/>
  <c r="Z33" i="1"/>
  <c r="Z21" i="1" l="1"/>
  <c r="Y21" i="1"/>
  <c r="Y27" i="1" l="1"/>
  <c r="Z27" i="1"/>
  <c r="Y18" i="1" l="1"/>
  <c r="AG14" i="1"/>
  <c r="Z14" i="1"/>
  <c r="Y13" i="1"/>
  <c r="Y14" i="1" l="1"/>
  <c r="Z18" i="1"/>
  <c r="Z13" i="1"/>
  <c r="AA16" i="1" l="1"/>
  <c r="AD16" i="1" s="1"/>
  <c r="AD13" i="1"/>
  <c r="AC13" i="1"/>
  <c r="AH13" i="1"/>
  <c r="AG13" i="1" l="1"/>
  <c r="AE16" i="1"/>
  <c r="AD19" i="1"/>
  <c r="AA19" i="1"/>
  <c r="AD18" i="1"/>
  <c r="AC18" i="1"/>
  <c r="AH18" i="1"/>
  <c r="AE19" i="1" l="1"/>
  <c r="AG18" i="1"/>
  <c r="AC21" i="1"/>
  <c r="AD21" i="1"/>
  <c r="AH21" i="1"/>
  <c r="AE23" i="1" l="1"/>
  <c r="AE29" i="1" s="1"/>
  <c r="AE35" i="1" s="1"/>
  <c r="AG21" i="1"/>
  <c r="AE44" i="1" l="1"/>
  <c r="AC27" i="1"/>
  <c r="AD27" i="1"/>
  <c r="AC25" i="1"/>
  <c r="AD25" i="1"/>
  <c r="AG25" i="1"/>
  <c r="AD26" i="1"/>
  <c r="AG26" i="1"/>
  <c r="AC26" i="1"/>
  <c r="AG27" i="1" l="1"/>
  <c r="AH26" i="1"/>
  <c r="AH27" i="1"/>
  <c r="AH25" i="1"/>
  <c r="AD31" i="1"/>
  <c r="AC32" i="1"/>
  <c r="AD32" i="1"/>
  <c r="AG32" i="1"/>
  <c r="AG31" i="1"/>
  <c r="AH31" i="1" l="1"/>
  <c r="AE33" i="1"/>
  <c r="AH32" i="1"/>
  <c r="AG33" i="1" l="1"/>
  <c r="AH33" i="1"/>
  <c r="AE36" i="1"/>
  <c r="AE52" i="1" l="1"/>
  <c r="AE53" i="1" l="1"/>
  <c r="S36" i="12" l="1"/>
  <c r="S61" i="12" l="1"/>
  <c r="S65" i="12" l="1"/>
  <c r="Z42" i="1" l="1"/>
  <c r="AH42" i="1" l="1"/>
  <c r="AG42" i="1"/>
  <c r="AH41" i="1"/>
  <c r="AG41" i="1"/>
  <c r="Z41" i="1"/>
  <c r="Y41" i="1"/>
  <c r="AH40" i="1" l="1"/>
  <c r="AG40" i="1"/>
  <c r="Z40" i="1"/>
  <c r="Y40" i="1"/>
  <c r="Z39" i="1" l="1"/>
  <c r="Y39" i="1"/>
  <c r="AG39" i="1" l="1"/>
  <c r="AH39" i="1"/>
  <c r="Z38" i="1" l="1"/>
  <c r="Y38" i="1"/>
  <c r="AG38" i="1" l="1"/>
  <c r="AH38" i="1"/>
  <c r="Y6" i="1" l="1"/>
  <c r="Z6" i="1"/>
  <c r="AG6" i="1" l="1"/>
  <c r="AH6" i="1"/>
  <c r="Z5" i="1"/>
  <c r="Y5" i="1"/>
  <c r="Z4" i="1"/>
  <c r="Y4" i="1"/>
  <c r="AG5" i="1" l="1"/>
  <c r="AH5" i="1"/>
  <c r="AH4" i="1"/>
  <c r="AG4" i="1"/>
  <c r="Y3" i="1"/>
  <c r="Z3" i="1"/>
  <c r="AG3" i="1" l="1"/>
  <c r="AH3" i="1"/>
  <c r="AF8" i="1"/>
  <c r="AF16" i="1" s="1"/>
  <c r="AH16" i="1" s="1"/>
  <c r="Z16" i="1"/>
  <c r="Z19" i="1"/>
  <c r="Y8" i="1"/>
  <c r="Z8" i="1"/>
  <c r="AH8" i="1" l="1"/>
  <c r="AF19" i="1"/>
  <c r="AH19" i="1" s="1"/>
  <c r="AF10" i="1"/>
  <c r="AG8" i="1"/>
  <c r="Z50" i="1"/>
  <c r="Y50" i="1"/>
  <c r="Z11" i="1"/>
  <c r="Y10" i="1"/>
  <c r="Z10" i="1"/>
  <c r="AH10" i="1" l="1"/>
  <c r="AF11" i="1"/>
  <c r="AH11" i="1" s="1"/>
  <c r="AG10" i="1"/>
  <c r="AF23" i="1"/>
  <c r="AH50" i="1"/>
  <c r="AG50" i="1"/>
  <c r="Z23" i="1"/>
  <c r="Y23" i="1"/>
  <c r="AG23" i="1" l="1"/>
  <c r="AH23" i="1"/>
  <c r="AF29" i="1"/>
  <c r="AF35" i="1" s="1"/>
  <c r="Z29" i="1"/>
  <c r="Y29" i="1"/>
  <c r="AH29" i="1" l="1"/>
  <c r="AG29" i="1"/>
  <c r="AF36" i="1"/>
  <c r="AH36" i="1" s="1"/>
  <c r="AG35" i="1"/>
  <c r="AH35" i="1"/>
  <c r="Z36" i="1"/>
  <c r="Y35" i="1"/>
  <c r="Z35" i="1"/>
  <c r="Z45" i="1" l="1"/>
  <c r="Y45" i="1"/>
  <c r="Y43" i="1"/>
  <c r="Z43" i="1"/>
  <c r="AH45" i="1" l="1"/>
  <c r="AG45" i="1"/>
  <c r="AF44" i="1"/>
  <c r="AH44" i="1" s="1"/>
  <c r="AH43" i="1"/>
  <c r="AG43" i="1"/>
  <c r="Z44" i="1"/>
  <c r="Y44" i="1"/>
  <c r="AF52" i="1" l="1"/>
  <c r="AG44" i="1"/>
  <c r="Z53" i="1"/>
  <c r="Y52" i="1"/>
  <c r="Z52" i="1"/>
  <c r="AG52" i="1" l="1"/>
  <c r="AH52" i="1"/>
  <c r="AF53" i="1"/>
  <c r="AH53" i="1" s="1"/>
  <c r="F54" i="3" l="1"/>
  <c r="G31" i="3"/>
  <c r="H31" i="3"/>
  <c r="F67" i="3" l="1"/>
  <c r="H54" i="3"/>
  <c r="G54" i="3"/>
  <c r="F68" i="3" l="1"/>
  <c r="G67" i="3"/>
  <c r="H67" i="3"/>
  <c r="T23" i="12" l="1"/>
  <c r="T70" i="12"/>
  <c r="P10" i="12"/>
  <c r="R10" i="12" l="1"/>
  <c r="Q10" i="12"/>
  <c r="U23" i="12"/>
  <c r="V23" i="12"/>
  <c r="V70" i="12"/>
  <c r="P23" i="12"/>
  <c r="Q23" i="12" l="1"/>
  <c r="R23" i="12"/>
  <c r="P30" i="12"/>
  <c r="R30" i="12" l="1"/>
  <c r="Q30" i="12"/>
  <c r="T71" i="12"/>
  <c r="T36" i="12"/>
  <c r="V36" i="12" l="1"/>
  <c r="U36" i="12"/>
  <c r="P27" i="12"/>
  <c r="P36" i="12"/>
  <c r="V71" i="12"/>
  <c r="T74" i="12"/>
  <c r="T61" i="12"/>
  <c r="Q27" i="12" l="1"/>
  <c r="R27" i="12"/>
  <c r="V61" i="12"/>
  <c r="U61" i="12"/>
  <c r="R36" i="12"/>
  <c r="Q36" i="12"/>
  <c r="V74" i="12"/>
  <c r="T76" i="12"/>
  <c r="V76" i="12" s="1"/>
  <c r="T65" i="12"/>
  <c r="P61" i="12"/>
  <c r="V65" i="12" l="1"/>
  <c r="U65" i="12"/>
  <c r="R61" i="12"/>
  <c r="Q61" i="12"/>
  <c r="P63" i="12"/>
  <c r="P65" i="12" l="1"/>
  <c r="R65" i="12" l="1"/>
  <c r="Q6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</authors>
  <commentList>
    <comment ref="P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R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G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I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Ana Maria</author>
    <author>Helio</author>
    <author>Usuario</author>
  </authors>
  <commentList>
    <comment ref="C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Aplicações em debêntures com liberação em julho e setembro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12.506
  SD DE  PERMUTA port 2000 no tot dup
</t>
        </r>
      </text>
    </comment>
    <comment ref="C1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technos e dumont</t>
        </r>
      </text>
    </comment>
    <comment ref="C15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K15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vr. estoques não realizados oriundos de vendas entre empresas, apurados no MEP</t>
        </r>
      </text>
    </comment>
    <comment ref="C1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C1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12274
= SD DE  PERMUTA
</t>
        </r>
      </text>
    </comment>
    <comment ref="C2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IR RET DIV  E FINSOCIAL SEIKO
</t>
        </r>
      </text>
    </comment>
    <comment ref="C2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CARTA FIANÇA NO HSBAC ZEROU EM 02-2014 E APLICAÇÃO CTA EXCROW</t>
        </r>
      </text>
    </comment>
    <comment ref="C29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Ana Maria:
SD CTA                      REF VENDA IMOVEL SÃO PAULO, BAIXADO NO CONTROLE PATRIM. POREM VENDA NÃO CONCLUIDA , COMPRADOR PAGOU VR TOTAL REF PREÇO COMO DEPOSITO CAUÇÃO ATÉ QUE ESCRITURA SEJA CONCLUIDA</t>
        </r>
      </text>
    </comment>
    <comment ref="C35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ctas 133.42.030
133.42.800
133.42.801
</t>
        </r>
      </text>
    </comment>
    <comment ref="J5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 FINIMP PRIC.
9.774 * 2,3334
+ JUROS 303</t>
        </r>
      </text>
    </comment>
    <comment ref="C60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VER RECLASSIFICAÇÕES
614 e 967 = reclassific para fornec de Adto de clientes e Outras conta a pagar (cfe DF patrimonial)</t>
        </r>
      </text>
    </comment>
    <comment ref="K61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- 24.5414            VR. ESCROW  ACIONISTAS ORIGINAIS 
221.09.010
</t>
        </r>
      </text>
    </comment>
    <comment ref="C70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ANTIGOS ACIONISTAS    221.09.010</t>
        </r>
      </text>
    </comment>
    <comment ref="K76" authorId="3" shapeId="0" xr:uid="{00000000-0006-0000-0200-00001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47 = AJUSTE NÃO MEPEAMENTO DA TECHNOS SUIÇA</t>
        </r>
      </text>
    </comment>
    <comment ref="F82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381 = capitalização dividendos 10/2012</t>
        </r>
      </text>
    </comment>
    <comment ref="C85" authorId="2" shapeId="0" xr:uid="{00000000-0006-0000-0200-000013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15.580 - 15.489 = DIV PROPOSTO EM 31/03/10 - DIV PAGO
1 = AJUSTE</t>
        </r>
      </text>
    </comment>
    <comment ref="Q87" authorId="2" shapeId="0" xr:uid="{00000000-0006-0000-0200-000014000000}">
      <text>
        <r>
          <rPr>
            <b/>
            <sz val="8"/>
            <color indexed="81"/>
            <rFont val="Tahoma"/>
            <family val="2"/>
          </rPr>
          <t>Helio:r$ 10.309 = AMORTIZAÇÃO PRINCIPAL 2009
R$ 12.009 = amort principal fip 2010
R$ 104 = ajuste</t>
        </r>
      </text>
    </comment>
    <comment ref="F123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Ajustado com os encargos sociais</t>
        </r>
      </text>
    </comment>
    <comment ref="K213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base fator</t>
        </r>
      </text>
    </comment>
    <comment ref="U216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160 = depreciação dumont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tc={D0A00ABE-69F7-4256-BD5D-C5CDFE6C9CDE}</author>
    <author>tc={C3B7A572-F3E1-42E9-A5B0-7CC98BBCAA13}</author>
    <author>tc={F88EE2BD-79A2-41E9-8FB6-6203FD370738}</author>
  </authors>
  <commentList>
    <comment ref="X3" authorId="0" shapeId="0" xr:uid="{D0A00ABE-69F7-4256-BD5D-C5CDFE6C9CD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RB sem AVP</t>
      </text>
    </comment>
    <comment ref="X5" authorId="1" shapeId="0" xr:uid="{C3B7A572-F3E1-42E9-A5B0-7CC98BBCAA1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Imposto sem AVP de imposto</t>
      </text>
    </comment>
    <comment ref="A9" authorId="2" shapeId="0" xr:uid="{F88EE2BD-79A2-41E9-8FB6-6203FD3707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CMV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HELIO</author>
    <author>helio</author>
    <author>Usuario</author>
  </authors>
  <commentList>
    <comment ref="I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2847 + 1070 + 109+77
 = fip e mhg sd
2073 = fip gmt
1050 = emprést tasa</t>
        </r>
      </text>
    </comment>
    <comment ref="C21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</t>
        </r>
      </text>
    </comment>
    <comment ref="G21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 =5
</t>
        </r>
      </text>
    </comment>
    <comment ref="I2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Ajuste</t>
        </r>
      </text>
    </comment>
    <comment ref="I28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9725 (9725-5160-587-1065) = TOTAL DE ANTECIPAÇÕES, já deduzido o valor de IR/CSL compensado com o passivo do exercicio corrente.
Demais valores = compensações com créditos
430 e 334 = IR/CSL reconhecido no resultado (março e junho) acertos da provisão e apuração final de DIPJ,  porém pago com compensação de créditos de exercício anteriores.</t>
        </r>
      </text>
    </comment>
    <comment ref="C30" authorId="2" shapeId="0" xr:uid="{00000000-0006-0000-0400-00000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G30" authorId="2" shapeId="0" xr:uid="{00000000-0006-0000-04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I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saldo 31/12 (2 parcelas) dívidido por 2. Os juros de 2011 já foram considerados em linha própria</t>
        </r>
      </text>
    </comment>
    <comment ref="G58" authorId="3" shapeId="0" xr:uid="{00000000-0006-0000-04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221 = comissão lançamento NP</t>
        </r>
      </text>
    </comment>
  </commentList>
</comments>
</file>

<file path=xl/sharedStrings.xml><?xml version="1.0" encoding="utf-8"?>
<sst xmlns="http://schemas.openxmlformats.org/spreadsheetml/2006/main" count="924" uniqueCount="610">
  <si>
    <t>%</t>
  </si>
  <si>
    <t>R$</t>
  </si>
  <si>
    <t>Lucro Bruto</t>
  </si>
  <si>
    <t>Depreciação e Amortização</t>
  </si>
  <si>
    <t>Margem Bruta</t>
  </si>
  <si>
    <t>Margem EBITDA</t>
  </si>
  <si>
    <t>Margem Líquida Ajustada</t>
  </si>
  <si>
    <t>Margem Líquida</t>
  </si>
  <si>
    <t>Fluxos de caixa das atividades operacionais</t>
  </si>
  <si>
    <t>Lucro antes do Imposto de renda e da contribuição social</t>
  </si>
  <si>
    <t>Ajuste de itens que não afetam o caixa</t>
  </si>
  <si>
    <t>Amortização e depreciação</t>
  </si>
  <si>
    <t>Provisão para valor recuperável de contas a receber</t>
  </si>
  <si>
    <t>Resultado na venda de ativos permanentes</t>
  </si>
  <si>
    <t>Juros sobre empréstimos</t>
  </si>
  <si>
    <t>Prêmio de opção de ações</t>
  </si>
  <si>
    <t>Outros</t>
  </si>
  <si>
    <t>Variações nos ativos e passivos</t>
  </si>
  <si>
    <t>Redução (aumento) nos estoques</t>
  </si>
  <si>
    <t>Redução (aumento) nos impostos a recuperar</t>
  </si>
  <si>
    <t>Aumento (redução) em fornecedores e contas a pagar</t>
  </si>
  <si>
    <t>Aumento (redução) em impostos, taxas e contribuições sociais a pagar</t>
  </si>
  <si>
    <t>Juros pagos</t>
  </si>
  <si>
    <t>Imposto de renda e contribuição social pagos</t>
  </si>
  <si>
    <t>Fluxos de caixa das atividades de investimento</t>
  </si>
  <si>
    <t>Compras de imobilizado</t>
  </si>
  <si>
    <t>Fluxos de caixa das atividades de financiamento</t>
  </si>
  <si>
    <t>Dividendos pagos aos acionistas da Companhia</t>
  </si>
  <si>
    <t>Aumento (redução) de caixa e equivalentes de caixa</t>
  </si>
  <si>
    <t>Ativo</t>
  </si>
  <si>
    <t>Circulante</t>
  </si>
  <si>
    <t>Dividendos a receber</t>
  </si>
  <si>
    <t>Impostos a recuperar</t>
  </si>
  <si>
    <t>Outros ativos</t>
  </si>
  <si>
    <t>Não circulante</t>
  </si>
  <si>
    <t>Realizável a longo prazo</t>
  </si>
  <si>
    <t>Depósitos judiciais</t>
  </si>
  <si>
    <t>Total do ativo</t>
  </si>
  <si>
    <t>Passivo e patrimônio líquido</t>
  </si>
  <si>
    <t>Fornecedores</t>
  </si>
  <si>
    <t>Impostos, taxas e contribuições sociais a pagar</t>
  </si>
  <si>
    <t>Salários e encargos sociais a pagar</t>
  </si>
  <si>
    <t>Licenciamentos a pagar</t>
  </si>
  <si>
    <t>Outras contas a pagar</t>
  </si>
  <si>
    <t>Provisão para contingências</t>
  </si>
  <si>
    <t>Capital social</t>
  </si>
  <si>
    <t>Gastos com emissão de ações</t>
  </si>
  <si>
    <t>Reservas de capital</t>
  </si>
  <si>
    <t>Reservas de lucros</t>
  </si>
  <si>
    <t>Ajuste de avaliação patrimonial</t>
  </si>
  <si>
    <t>Total do patrimônio líquido</t>
  </si>
  <si>
    <t>Despesas com Vendas</t>
  </si>
  <si>
    <t>Redução (aumento) nos outros ativos</t>
  </si>
  <si>
    <t>EBITDA (CVM)</t>
  </si>
  <si>
    <t>Participação dos não controladores</t>
  </si>
  <si>
    <t>RELEASE</t>
  </si>
  <si>
    <t>LUCRO ANTES DO IR/CSLL</t>
  </si>
  <si>
    <t>(+/-) Ajustes que não afetam caixa</t>
  </si>
  <si>
    <t>(+/-) Atividades operacionais</t>
  </si>
  <si>
    <t>(+/-) Atividades de investimento</t>
  </si>
  <si>
    <t>(+/-) Atividades de financiamento</t>
  </si>
  <si>
    <t>(=) Aumento (redução) de caixa</t>
  </si>
  <si>
    <t>(+) Caixa Inicial</t>
  </si>
  <si>
    <t>(=) Caixa Final</t>
  </si>
  <si>
    <t>TVM</t>
  </si>
  <si>
    <t>Redução (aumento) de titulos e valores mobiliarios circulante</t>
  </si>
  <si>
    <t>Redução (aumento) de titulos e valores mobiliarios não circulante</t>
  </si>
  <si>
    <t>Investimento em ativo fixo</t>
  </si>
  <si>
    <t>Investimento conta escrow</t>
  </si>
  <si>
    <t>Participação de não controladores</t>
  </si>
  <si>
    <t>TECHNOS S.A.</t>
  </si>
  <si>
    <t>DEMONSTRAÇÕES FINANCEIRAS CONSOLIDADAS</t>
  </si>
  <si>
    <t>TASA</t>
  </si>
  <si>
    <t>TSUIÇA</t>
  </si>
  <si>
    <t>SCS</t>
  </si>
  <si>
    <t>TECHNOS</t>
  </si>
  <si>
    <t>TOUCH</t>
  </si>
  <si>
    <t>Dumont</t>
  </si>
  <si>
    <t>TOTAL</t>
  </si>
  <si>
    <t xml:space="preserve">AJUSTE DE </t>
  </si>
  <si>
    <t>AJUSTE</t>
  </si>
  <si>
    <t>ITEM</t>
  </si>
  <si>
    <t>RECLASSIFICAÇÕES</t>
  </si>
  <si>
    <t>CONSOLIDAÇÃO</t>
  </si>
  <si>
    <t>CONSOLIDADO</t>
  </si>
  <si>
    <t>AJUSTE TASA</t>
  </si>
  <si>
    <t>AJUSTE SCS</t>
  </si>
  <si>
    <t>AJUSTE GMT</t>
  </si>
  <si>
    <t>GMT</t>
  </si>
  <si>
    <t>CAIXA E APLICAÇÕES</t>
  </si>
  <si>
    <t xml:space="preserve">     CAIXA E BANCOS</t>
  </si>
  <si>
    <t xml:space="preserve">     APLICAÇÕES</t>
  </si>
  <si>
    <t xml:space="preserve">     TITULOS E VALORES MOBILIARIOS</t>
  </si>
  <si>
    <t xml:space="preserve"> CONTAS A RECEBER (CLIENTES)</t>
  </si>
  <si>
    <t xml:space="preserve"> AVP DE DUPLICATAS A RECEBER</t>
  </si>
  <si>
    <t xml:space="preserve"> ESTOQUES (+ ADTO A FORNECEDORES)</t>
  </si>
  <si>
    <t>IMPOSTOS A RECUPERAR</t>
  </si>
  <si>
    <t>IMPOSTOS DE RENDA E CSLL DIFERIDOS</t>
  </si>
  <si>
    <t>ADIANTAMENTOS A FORNECEDORES</t>
  </si>
  <si>
    <t xml:space="preserve"> OUTRAS CONTAS A RECEBER</t>
  </si>
  <si>
    <t>DIVIDENDOS A RECEBER</t>
  </si>
  <si>
    <t>ATIVO CIRCULANTE</t>
  </si>
  <si>
    <t xml:space="preserve"> ADIANTAMENTO A FORNECEDORES</t>
  </si>
  <si>
    <t xml:space="preserve"> IMPOSTOS A RECUPERAR</t>
  </si>
  <si>
    <t xml:space="preserve"> TITULOS E VALORES MOBILIARIOS</t>
  </si>
  <si>
    <t xml:space="preserve"> IMPOSTOS DE RENDA E CSLL DIFERIDOS</t>
  </si>
  <si>
    <t xml:space="preserve"> OUTRAS CONTAS A RECEBER NÃO CIRCULANTE</t>
  </si>
  <si>
    <t xml:space="preserve"> DEPÓSITOS JUDICIAIS</t>
  </si>
  <si>
    <t xml:space="preserve"> IMÓVEIS DESTINADOS A VENDA</t>
  </si>
  <si>
    <t>ATIVO REALIZAVEL LP</t>
  </si>
  <si>
    <t xml:space="preserve"> INVESTIMENTOS EM CONTROLADAS</t>
  </si>
  <si>
    <t xml:space="preserve"> AGIO NA AQUISIÇÃO DE INVESTIMENTO EM CONTROLADAS</t>
  </si>
  <si>
    <t xml:space="preserve"> INVESTIMENTOS OUTROS</t>
  </si>
  <si>
    <t xml:space="preserve"> IMOBILIZADO</t>
  </si>
  <si>
    <t xml:space="preserve"> INTANGIVEL</t>
  </si>
  <si>
    <t>PERMANENTE</t>
  </si>
  <si>
    <t>ATIVO TOTAL</t>
  </si>
  <si>
    <t xml:space="preserve"> </t>
  </si>
  <si>
    <t>AJUSTE SD</t>
  </si>
  <si>
    <t>SD</t>
  </si>
  <si>
    <t xml:space="preserve"> EMPRESTIMOS BANCARIOS</t>
  </si>
  <si>
    <t xml:space="preserve"> FORNECEDORES</t>
  </si>
  <si>
    <t xml:space="preserve"> IMPOSTOS E CONTRIBUIÇÕES</t>
  </si>
  <si>
    <t xml:space="preserve"> SALARIOS/ENC SOCIAIS A PAGAR</t>
  </si>
  <si>
    <t>LICENCIAMENTOS A PAGAR</t>
  </si>
  <si>
    <t xml:space="preserve"> OUTRAS CONTAS A PAGAR</t>
  </si>
  <si>
    <t xml:space="preserve">     OUTRAS CONTAS A PAGAR</t>
  </si>
  <si>
    <t xml:space="preserve"> DIVIDENDOS A PAGAR E RESGATE DE AÇÕES</t>
  </si>
  <si>
    <t>PASSIVO CIRCULANTE</t>
  </si>
  <si>
    <t>EMPRÉSTIMOS</t>
  </si>
  <si>
    <t>ADIANTAMENTO PARA FUTURO AUMENTO DE CAPITAL</t>
  </si>
  <si>
    <t>IMPOSTOS A PAGAR</t>
  </si>
  <si>
    <t xml:space="preserve"> PROVISÃO PARA CONTINGÊNCIAS</t>
  </si>
  <si>
    <t>VALOR A PAGAR POR AQUISICAO DE PARTICIPACAO SOCIETARIA</t>
  </si>
  <si>
    <t>OUTRAS CONTAS A PAGAR NÃO CIRCULANTE</t>
  </si>
  <si>
    <t>EXIGÍVEL A LONGO PRAZO</t>
  </si>
  <si>
    <t xml:space="preserve"> CONTROLADAS CONSOLIDADAS</t>
  </si>
  <si>
    <t>PARTICIPACOES DE NÃO CONTROLADORES</t>
  </si>
  <si>
    <t>Base DFs 31/12/12</t>
  </si>
  <si>
    <t>ANTES</t>
  </si>
  <si>
    <t xml:space="preserve"> CAPITAL SOCIAL ATUALIZADO</t>
  </si>
  <si>
    <t xml:space="preserve">    CAPITAL SOCIAL</t>
  </si>
  <si>
    <t xml:space="preserve">     CM DO CAPITAL SOCIAL</t>
  </si>
  <si>
    <t xml:space="preserve"> RESERVAS DE CAPITAL</t>
  </si>
  <si>
    <t>RESERVAS DE LUCROS</t>
  </si>
  <si>
    <t>AJUSTE DE AVALIAÇÃO PATRIMONIAL</t>
  </si>
  <si>
    <t xml:space="preserve"> LUCRO (PREJUÍZO) DO EXERCÍCIO</t>
  </si>
  <si>
    <t>PATRIMONIO LIQUIDO</t>
  </si>
  <si>
    <t>PASSIVO TOTAL</t>
  </si>
  <si>
    <t>RECEITA BRUTA DE VENDAS</t>
  </si>
  <si>
    <t>AJUSTE A VALOR PRESENTE DE VENDAS</t>
  </si>
  <si>
    <t>MENOS: IMPOSTOS S/ VENDAS</t>
  </si>
  <si>
    <t>IMPOSTOS INCIDENTES S/ AVP</t>
  </si>
  <si>
    <t>RECEITA LIQUIDA DE VENDAS</t>
  </si>
  <si>
    <t>LUCRO NÃO REALIZADO SELL OUT SCS 2014</t>
  </si>
  <si>
    <t>CUSTO MERC. VENDIDAS</t>
  </si>
  <si>
    <t>CMV TASA VENDAS SCS 2014</t>
  </si>
  <si>
    <t>LUCRO NÃO REALIZADO VENDAS SCS 2014</t>
  </si>
  <si>
    <t>LUCRO BRUTO</t>
  </si>
  <si>
    <t>LUCRO NÃO REALIZADO SELL IN SCS 2014</t>
  </si>
  <si>
    <t>EQUIVALENCIA PATRIMONIAL</t>
  </si>
  <si>
    <t>VENDAS TASA 2014 - CUSTO ESTOQUE SCS</t>
  </si>
  <si>
    <t>CMV TASA VENDAS TASA 2014</t>
  </si>
  <si>
    <t>RECEITAS FINANCEIRAS</t>
  </si>
  <si>
    <t>LUCRO NÃO REALIZADO VENDAS TASA 2014</t>
  </si>
  <si>
    <t>RECEITAS FINANCEIRAS - REVERSÃO AVP</t>
  </si>
  <si>
    <t>DESPESAS COM VENDAS</t>
  </si>
  <si>
    <t>MOVIMENTAÇÃO LUCRO NÃO REALIZADO</t>
  </si>
  <si>
    <t>ESTOQUE</t>
  </si>
  <si>
    <t xml:space="preserve"> PROPAGANDA E PUBLICIDADE</t>
  </si>
  <si>
    <t>ENTRADAS ESTOQUE SCS</t>
  </si>
  <si>
    <t>C</t>
  </si>
  <si>
    <t xml:space="preserve"> ORDENAD/COMISSOES S/ VENDAS</t>
  </si>
  <si>
    <t>SAIDAS ESTOQUE SCS</t>
  </si>
  <si>
    <t>D</t>
  </si>
  <si>
    <t xml:space="preserve"> PROVISAO CRED LIQUID DUVID</t>
  </si>
  <si>
    <t>EFEITO LÍQUIDO NO CMV</t>
  </si>
  <si>
    <t xml:space="preserve"> FRETES, ASSIST. TECNICA ETC.</t>
  </si>
  <si>
    <t>GASTOS GERAIS</t>
  </si>
  <si>
    <t xml:space="preserve"> HONORARIOS DIRETORIA</t>
  </si>
  <si>
    <t xml:space="preserve"> DESPESAS ADMINISTRATIVAS</t>
  </si>
  <si>
    <t xml:space="preserve"> DESPESAS FINANCEIRAS</t>
  </si>
  <si>
    <t xml:space="preserve"> DEPRECIACAO E AMORTIZACAO</t>
  </si>
  <si>
    <t>OUTRAS RECEITAS (DESPESAS) OPERACIONAIS, LÍQUIDOS</t>
  </si>
  <si>
    <t xml:space="preserve">  PROVISÃO PARA CONTINGÊNCIAS</t>
  </si>
  <si>
    <t>LUCRO OPERACIONAL</t>
  </si>
  <si>
    <t>RESULTADO NA VENDA DE ATIVOS FIXOS</t>
  </si>
  <si>
    <t>RESULTADO ANTES IR/PARTIC</t>
  </si>
  <si>
    <t>CONTRIBUICAO SOCIAL</t>
  </si>
  <si>
    <t>IMPOSTO DE RENDA NORMAL</t>
  </si>
  <si>
    <t>IMPOSTO DE RENDA/CSL DIFERIDOS</t>
  </si>
  <si>
    <t>PARTICIPACAO DOS EMPREGADOS</t>
  </si>
  <si>
    <t>PARTICIPACAO DE NÃO CONTROLADORES</t>
  </si>
  <si>
    <t>RESULTADO LÍQUIDO DO PERÍODO</t>
  </si>
  <si>
    <t>RESULTADO</t>
  </si>
  <si>
    <t xml:space="preserve">Receita Bruta de Vendas </t>
  </si>
  <si>
    <t>PROJEÇÃO EBTIDA DEBENTURES - 31/10/13</t>
  </si>
  <si>
    <t>Venda Comissionada</t>
  </si>
  <si>
    <t>EBTIDA TASA</t>
  </si>
  <si>
    <t>Fretes Recuperados</t>
  </si>
  <si>
    <t>LUCRO A IR/CSL</t>
  </si>
  <si>
    <t>Assistencia Técnica</t>
  </si>
  <si>
    <t>&lt;-&gt; RF</t>
  </si>
  <si>
    <t>&lt;+&gt; DF</t>
  </si>
  <si>
    <t>Ajuste a Valor Presente de Vendas</t>
  </si>
  <si>
    <t>&lt;+&gt; DEPR</t>
  </si>
  <si>
    <t>Efeito Cut Off nas Vendas</t>
  </si>
  <si>
    <t>EBTIDA</t>
  </si>
  <si>
    <t>Efeito Cut Off no AVP das Vendas</t>
  </si>
  <si>
    <t>Impostos Incidentes Sobre as Vendas</t>
  </si>
  <si>
    <t>DÍVIDA LÍQUIDA</t>
  </si>
  <si>
    <t>Impostos Sobre as Vendas de Relógios</t>
  </si>
  <si>
    <t>Impostos Sobre Assistencia Técnica</t>
  </si>
  <si>
    <t>IND FINANC DEBENTURE</t>
  </si>
  <si>
    <t>Ajuste a Valor Presente dos Impostos</t>
  </si>
  <si>
    <t>Efeito do Cut Off nos Impostos</t>
  </si>
  <si>
    <t>GAP INDICADOR</t>
  </si>
  <si>
    <t>Receita Líquida de Vendas</t>
  </si>
  <si>
    <t>GAP FINANCEIRO</t>
  </si>
  <si>
    <t>Custo de Vendas</t>
  </si>
  <si>
    <t>Vendas de Relógios</t>
  </si>
  <si>
    <t>Efeito do Cut Off no CMV</t>
  </si>
  <si>
    <t>Despesas com Publicidade</t>
  </si>
  <si>
    <t>Outras Despesas com Vendas</t>
  </si>
  <si>
    <t>Despesas Gerais &amp; Administrativas</t>
  </si>
  <si>
    <t>Honorários da Diretoria</t>
  </si>
  <si>
    <t>Outros, Líquidos</t>
  </si>
  <si>
    <t>Outras Rec/(Desp) Operacionais</t>
  </si>
  <si>
    <t>Provisão para Contingências</t>
  </si>
  <si>
    <t>Resultado Não Operacional</t>
  </si>
  <si>
    <t>Provisionamento Mensal PLR</t>
  </si>
  <si>
    <t>(Receita)/Despesa Financeira Líquida</t>
  </si>
  <si>
    <t>Despesas</t>
  </si>
  <si>
    <t>Receitas</t>
  </si>
  <si>
    <t>Receitas - Reversão AVP</t>
  </si>
  <si>
    <t>Contribuição Social</t>
  </si>
  <si>
    <t xml:space="preserve">Imposto de Renda </t>
  </si>
  <si>
    <t>IR/CSLL Diferidos</t>
  </si>
  <si>
    <t>Lucro/(Prejuízo) Líquido Contábil</t>
  </si>
  <si>
    <t>RECONCILIAÇÕES REPORTING</t>
  </si>
  <si>
    <t>(+) Passivo Fiscal Diferido</t>
  </si>
  <si>
    <t>(+/-) Provisões para Contingências Não-Operacionais</t>
  </si>
  <si>
    <t>(+/-) Outros Não-Recorrentes / Não-Operacionais</t>
  </si>
  <si>
    <t>(=) Lucro Líquido Ajustado</t>
  </si>
  <si>
    <t>(+) Depreciação e Amortização</t>
  </si>
  <si>
    <t>(+) Outras Despesas Não-Caixa</t>
  </si>
  <si>
    <t>(-) Receitas Financeiras Líquidas</t>
  </si>
  <si>
    <t>(+) Contribuição Social</t>
  </si>
  <si>
    <t xml:space="preserve">(+) Imposto de Renda </t>
  </si>
  <si>
    <t>(+) Impostos Diferidos</t>
  </si>
  <si>
    <t>(=) EBITDA</t>
  </si>
  <si>
    <t>(+) Receitas Financeiras do AVP</t>
  </si>
  <si>
    <t>(+/-) Diferencial do AVP</t>
  </si>
  <si>
    <t>(=) EBITDA Ajustado</t>
  </si>
  <si>
    <t>Margem EBITDA Ajustado</t>
  </si>
  <si>
    <t>CONTROLADORA</t>
  </si>
  <si>
    <t>Lucro bruto</t>
  </si>
  <si>
    <t>Receitas financeiras</t>
  </si>
  <si>
    <t>Despesas financeiras</t>
  </si>
  <si>
    <t>Lucro antes do imposto de renda e da contribuição social</t>
  </si>
  <si>
    <t>Imposto de renda e contribuição social</t>
  </si>
  <si>
    <t>Atribuível a</t>
  </si>
  <si>
    <t>Acionistas da Companhia</t>
  </si>
  <si>
    <t>Controladora</t>
  </si>
  <si>
    <t>Consolidado</t>
  </si>
  <si>
    <t>Receita líquida (nota 21)</t>
  </si>
  <si>
    <t>Custo das vendas (nota 22)</t>
  </si>
  <si>
    <t>Despesas com vendas (nota 22)</t>
  </si>
  <si>
    <t>Despesas administrativas (nota 22)</t>
  </si>
  <si>
    <t>Outras receitas (despesas), líquidas (nota 22)</t>
  </si>
  <si>
    <t>Participação nos lucros de subsidiárias (nota 14)</t>
  </si>
  <si>
    <t>Lucro operacional</t>
  </si>
  <si>
    <t>Resultado financeiro, líquido (nota 23)</t>
  </si>
  <si>
    <t>Corrente (nota 18(b))</t>
  </si>
  <si>
    <t>Diferido (nota 18(b))</t>
  </si>
  <si>
    <t>Lucro líquido (prejuízo) do período atribuído aos acionistas</t>
  </si>
  <si>
    <t>Lucro (prejuízo) por ação atribuível aos acionistas da Companhia</t>
  </si>
  <si>
    <t>(expresso em R$ por ação)</t>
  </si>
  <si>
    <t>Quant ações</t>
  </si>
  <si>
    <t>Lucro (prejuízo) básico por ação</t>
  </si>
  <si>
    <t>base Daniela</t>
  </si>
  <si>
    <t>media</t>
  </si>
  <si>
    <t>Integralmente de operações continuadas (nota 24(a))</t>
  </si>
  <si>
    <t>Saldo de ações</t>
  </si>
  <si>
    <t>em opcoes</t>
  </si>
  <si>
    <t>Lucro (prejuízo) diluído por ação</t>
  </si>
  <si>
    <t>Integralmente de operações continuadas (nota 24(b))</t>
  </si>
  <si>
    <t>base diluido</t>
  </si>
  <si>
    <t>lucro básico</t>
  </si>
  <si>
    <t>lucro diluiído</t>
  </si>
  <si>
    <t>31 de março</t>
  </si>
  <si>
    <t>31 de dezembro de 2013</t>
  </si>
  <si>
    <t>de 2014</t>
  </si>
  <si>
    <t>Caixa e equivalentes de caixa (nota 7)</t>
  </si>
  <si>
    <r>
      <t>Empréstimos</t>
    </r>
    <r>
      <rPr>
        <sz val="8"/>
        <color theme="1"/>
        <rFont val="Times New Roman"/>
        <family val="1"/>
      </rPr>
      <t> </t>
    </r>
    <r>
      <rPr>
        <sz val="9"/>
        <color rgb="FF000000"/>
        <rFont val="Arial"/>
        <family val="2"/>
      </rPr>
      <t xml:space="preserve"> (Nota 5)</t>
    </r>
  </si>
  <si>
    <t>Contas a receber de clientes (nota 10)</t>
  </si>
  <si>
    <t>Estoques (nota 11)</t>
  </si>
  <si>
    <t>Dividendos a pagar (nota 14)</t>
  </si>
  <si>
    <t>Outros ativos (nota 13)</t>
  </si>
  <si>
    <t>Ativos não circulantes mantidos para venda (nota 12)</t>
  </si>
  <si>
    <t>Imposto de renda e contribuição social diferidos (nota 18)</t>
  </si>
  <si>
    <t>Provisão para contingências (nota 17)</t>
  </si>
  <si>
    <r>
      <t xml:space="preserve">     Valor a pagar por aquisição de participação societária</t>
    </r>
    <r>
      <rPr>
        <sz val="8"/>
        <color theme="1"/>
        <rFont val="Times New Roman"/>
        <family val="1"/>
      </rPr>
      <t> </t>
    </r>
  </si>
  <si>
    <t>líquido da escrow dos acionistas</t>
  </si>
  <si>
    <t>Adiantamentos a fornecedores</t>
  </si>
  <si>
    <t>Títulos e valores mobiliários (nota 8)</t>
  </si>
  <si>
    <t>Patrimônio líquido atribuído aos</t>
  </si>
  <si>
    <t>acionistas da controladora (nota 19)</t>
  </si>
  <si>
    <t>Investimentos (nota 14)</t>
  </si>
  <si>
    <t>Intangível (nota 15)</t>
  </si>
  <si>
    <t>Imobilizado (nota 16)</t>
  </si>
  <si>
    <t xml:space="preserve">Total do passivo e patrimônio líquido </t>
  </si>
  <si>
    <r>
      <t> </t>
    </r>
    <r>
      <rPr>
        <sz val="10"/>
        <color theme="1"/>
        <rFont val="Times New Roman"/>
        <family val="1"/>
      </rPr>
      <t>Incluir nota.</t>
    </r>
  </si>
  <si>
    <r>
      <t> </t>
    </r>
    <r>
      <rPr>
        <sz val="10"/>
        <color theme="1"/>
        <rFont val="Times New Roman"/>
        <family val="1"/>
      </rPr>
      <t>Fazer referência para nota 26</t>
    </r>
  </si>
  <si>
    <t>TECHNOS 31.12.13</t>
  </si>
  <si>
    <t>IR/CSL PROVISIONADOS EM 2012</t>
  </si>
  <si>
    <t>CORRENTE</t>
  </si>
  <si>
    <t>DIFERIDO</t>
  </si>
  <si>
    <t>DRE</t>
  </si>
  <si>
    <t>PAGAMENTOS</t>
  </si>
  <si>
    <t>IR/CSL</t>
  </si>
  <si>
    <t>TASA 11207</t>
  </si>
  <si>
    <t>TASA 21303</t>
  </si>
  <si>
    <t xml:space="preserve">prov em 30/12/11 </t>
  </si>
  <si>
    <t>TECH 11207</t>
  </si>
  <si>
    <t>SCS 11207</t>
  </si>
  <si>
    <t>compensação</t>
  </si>
  <si>
    <t>Ajustado para fechar com NE do imobilizado. Existia uma insistência de R$ 22</t>
  </si>
  <si>
    <t>prov</t>
  </si>
  <si>
    <t>tasa</t>
  </si>
  <si>
    <t>Provisão (reversão) para valor recuperável de estoques</t>
  </si>
  <si>
    <t>A PAGAR</t>
  </si>
  <si>
    <t>TW</t>
  </si>
  <si>
    <t>TBA</t>
  </si>
  <si>
    <t>TBU</t>
  </si>
  <si>
    <r>
      <t xml:space="preserve">Impairment </t>
    </r>
    <r>
      <rPr>
        <sz val="10"/>
        <color theme="1"/>
        <rFont val="Arial"/>
        <family val="2"/>
      </rPr>
      <t>de bens de ativo imobilizado e intangível</t>
    </r>
  </si>
  <si>
    <t>Equivalência patrimonial</t>
  </si>
  <si>
    <t>impairm</t>
  </si>
  <si>
    <t>Juros outros</t>
  </si>
  <si>
    <t>touch</t>
  </si>
  <si>
    <t>Ajuste alterado</t>
  </si>
  <si>
    <t>si</t>
  </si>
  <si>
    <t>compras</t>
  </si>
  <si>
    <t>deprec</t>
  </si>
  <si>
    <t>vr just est</t>
  </si>
  <si>
    <t>result</t>
  </si>
  <si>
    <t>DUMONT 31/03</t>
  </si>
  <si>
    <t>rec não oper</t>
  </si>
  <si>
    <t>Redução de contas a receber</t>
  </si>
  <si>
    <t>SD 30.06.12</t>
  </si>
  <si>
    <t>ANTES DOS AJUSTES DE BC</t>
  </si>
  <si>
    <t>CONTAS A RECEBER</t>
  </si>
  <si>
    <t>ESTOQUES</t>
  </si>
  <si>
    <t>OUTRAS CONTAS A RECEBER</t>
  </si>
  <si>
    <t>Aumento (redução) em salários e encargos sociais pagar</t>
  </si>
  <si>
    <t>FORNECEDORES E OUTRAS</t>
  </si>
  <si>
    <t>SALARIOS E ENC A PAGAR</t>
  </si>
  <si>
    <t>IMPOSTOS E CONTRIBUIÇÕES</t>
  </si>
  <si>
    <t>IR/CSL DIFERIDOS</t>
  </si>
  <si>
    <t>CAIXA E EQUIV CAIXA</t>
  </si>
  <si>
    <t>IR E CSL 2012</t>
  </si>
  <si>
    <t>Caixa líquido gerado pelas (aplicado nas) atividades operacionais</t>
  </si>
  <si>
    <t xml:space="preserve">   Aquisição de participação de não controladores </t>
  </si>
  <si>
    <t>caixa Dum 31/03</t>
  </si>
  <si>
    <t xml:space="preserve">   Aquisição de participação societária</t>
  </si>
  <si>
    <t>IMOBILIZADO</t>
  </si>
  <si>
    <t xml:space="preserve">   Reversão de ágio em aquisição de participação societária</t>
  </si>
  <si>
    <t>INTANGÍVEL</t>
  </si>
  <si>
    <t xml:space="preserve">   Indenização recebida em aquisição de participação societária</t>
  </si>
  <si>
    <t xml:space="preserve">   Ativos incorporados de controladas</t>
  </si>
  <si>
    <t>dumont</t>
  </si>
  <si>
    <t xml:space="preserve">   Aumento e integralização de capital em empresa controlada </t>
  </si>
  <si>
    <t>AC</t>
  </si>
  <si>
    <t>Aplicações em títulos e valores mobiliários</t>
  </si>
  <si>
    <t>IR/CSL DIFERIDO</t>
  </si>
  <si>
    <t>PC</t>
  </si>
  <si>
    <t>Valor recebido pela venda de imobilizado e ativos destinados a venda</t>
  </si>
  <si>
    <t>pc dividendos a pagar</t>
  </si>
  <si>
    <t>Compra de ativos intangíveis</t>
  </si>
  <si>
    <t>CAIXA E EQQUIV</t>
  </si>
  <si>
    <t xml:space="preserve">    Dividendos recebidos </t>
  </si>
  <si>
    <t>EFEITO DISTRIBUIDO</t>
  </si>
  <si>
    <t>Caixa líquido aplicado nas atividades de investimento</t>
  </si>
  <si>
    <t>RECLASSIFICAÇÃO DE FORNEC ESTRANG(FINIMP) PARA FINIMP</t>
  </si>
  <si>
    <t>Integralização de capital</t>
  </si>
  <si>
    <t xml:space="preserve">   Empréstimos</t>
  </si>
  <si>
    <t xml:space="preserve">   Empréstimos pagos</t>
  </si>
  <si>
    <t xml:space="preserve">   Reversão de gastos com emissão de ações a pagar</t>
  </si>
  <si>
    <t>Consolidado corrigido: Dividendos de R$ 17 pagos em 29/06 não foram considerados.</t>
  </si>
  <si>
    <t>Caixa líquido aplicado nas atividades de financiamento</t>
  </si>
  <si>
    <t>Caixa e equivalentes de caixa no início do período (nota 7)</t>
  </si>
  <si>
    <t>Caixa e equivalentes de caixa no final do período (nota 7)</t>
  </si>
  <si>
    <t>AQUISIÇÃO</t>
  </si>
  <si>
    <t>TRI1</t>
  </si>
  <si>
    <t>TRI2 TASA</t>
  </si>
  <si>
    <t>TRI2SCS</t>
  </si>
  <si>
    <t>TRI2DUM</t>
  </si>
  <si>
    <t>IMOB</t>
  </si>
  <si>
    <t>INTANG</t>
  </si>
  <si>
    <t>30 de junho</t>
  </si>
  <si>
    <t>Imposto de renda e contribuição social diferidos (nota 17)</t>
  </si>
  <si>
    <t>Lucros acumulados</t>
  </si>
  <si>
    <t>Arrendamento a pagar</t>
  </si>
  <si>
    <t>Contas a pagar - cessão de direitos creditórios</t>
  </si>
  <si>
    <t>Resgate de depósitos vinculados</t>
  </si>
  <si>
    <t>Provisão para honorários de êxito</t>
  </si>
  <si>
    <t>Balanço Patrimonial (R$ mil)</t>
  </si>
  <si>
    <t>Instrumentos financeiros derivativos</t>
  </si>
  <si>
    <t>Empréstimos</t>
  </si>
  <si>
    <t>Dividendo adicional proposto</t>
  </si>
  <si>
    <t>Baixa de contas a receber por execução de garantia sem geração de caixa</t>
  </si>
  <si>
    <t>Aquisição de participação societária</t>
  </si>
  <si>
    <t>Outras despesas de juros e variação cambial</t>
  </si>
  <si>
    <t>Provisão para redução ao valor recuperável do ágio (impairment)</t>
  </si>
  <si>
    <t>Ajuste a valor de mercado em ativos não circulantes disponíveis para venda</t>
  </si>
  <si>
    <t>Depósitos vinculados em garantia a empréstimos - caixa restrito</t>
  </si>
  <si>
    <t>Arrendamento contratado</t>
  </si>
  <si>
    <t>Arrendamento pago</t>
  </si>
  <si>
    <t>Reversão de provisão de estoque por baixa</t>
  </si>
  <si>
    <t>Reserva de lucro de incentivo fiscal reflexa</t>
  </si>
  <si>
    <t>Lucro (Prejuízo) no período</t>
  </si>
  <si>
    <t>Exercício de plano de opção - Stock Option</t>
  </si>
  <si>
    <t>Obrigações a pagar por aquisição de mercadoria</t>
  </si>
  <si>
    <t>1T23</t>
  </si>
  <si>
    <t>2T23</t>
  </si>
  <si>
    <t>3T23</t>
  </si>
  <si>
    <t>4T23</t>
  </si>
  <si>
    <t>1T24</t>
  </si>
  <si>
    <t>2T24</t>
  </si>
  <si>
    <t>3T24</t>
  </si>
  <si>
    <t>4T24</t>
  </si>
  <si>
    <t>Caixa e equivalentes de caixa (nota 4)</t>
  </si>
  <si>
    <t>Caixa restrito (nota 5)</t>
  </si>
  <si>
    <t>Contas a receber de clientes (nota 7)</t>
  </si>
  <si>
    <t>Estoques (nota 8)</t>
  </si>
  <si>
    <t>IR/CSL a recuperar (15)</t>
  </si>
  <si>
    <t>Impostos a recuperar (15)</t>
  </si>
  <si>
    <t>Instrumentos financeiros derivativos (nota 23)</t>
  </si>
  <si>
    <t>Títulos e valores mobiliários (nota 6)</t>
  </si>
  <si>
    <t>Depósitos judiciais (14)</t>
  </si>
  <si>
    <t>Instrumentos financeiros derivativos (23)</t>
  </si>
  <si>
    <t>Intangível (nota 10)</t>
  </si>
  <si>
    <t>Imobilizado (nota 11)</t>
  </si>
  <si>
    <t>Empréstimos  (Nota 12)</t>
  </si>
  <si>
    <t>Fornecedores (Nota 14,)</t>
  </si>
  <si>
    <t>Impostos e  taxas a pagar (Nota 16)</t>
  </si>
  <si>
    <t>IR e Contribuições retidos na fonte (Nota 16)</t>
  </si>
  <si>
    <t>Valor a pagar por aquisição de participação de não controlador (6)</t>
  </si>
  <si>
    <t>Dividendos a pagar (nota 15)</t>
  </si>
  <si>
    <t xml:space="preserve"> Arrendamento  a pagar (nota 13)</t>
  </si>
  <si>
    <t>Provisão para honorários de êxito (16)</t>
  </si>
  <si>
    <t>Contas a pagar - cessão de direitos creditórios (nota 15)</t>
  </si>
  <si>
    <t>Imposto de renda e contribuição social diferidos (nota 16)</t>
  </si>
  <si>
    <t>Impostos, taxas e contribuições sociais a pagar (Nota 16)</t>
  </si>
  <si>
    <t>Provisão para contingências (nota 15)</t>
  </si>
  <si>
    <t>Valor a pagar por aquisição de participação societária </t>
  </si>
  <si>
    <t>Arrendamento a pagar (nota 13)</t>
  </si>
  <si>
    <t>Ações em tesouraria</t>
  </si>
  <si>
    <t>Lucro (prejuízo) no período</t>
  </si>
  <si>
    <t>Provisão (reversão) para valor recuperável de contas a receber</t>
  </si>
  <si>
    <t>Impairment (reversão) de bens do ativo imobilizado e intangivel</t>
  </si>
  <si>
    <t>Caixa restrito</t>
  </si>
  <si>
    <t>Indenização recebida em aquisição de participação societária</t>
  </si>
  <si>
    <t>Reversão de ágio em aquisição de participação societária</t>
  </si>
  <si>
    <t>Aquisição de ações próprias mantidas em tesouraria</t>
  </si>
  <si>
    <t>Empréstimos pagos</t>
  </si>
  <si>
    <t>N/A</t>
  </si>
  <si>
    <t>Gross operational revenue</t>
  </si>
  <si>
    <t>Adjustment to present value on revenue</t>
  </si>
  <si>
    <t>Taxes Sales</t>
  </si>
  <si>
    <t>Adjustment to present value on taxes</t>
  </si>
  <si>
    <t>Net operational revenue</t>
  </si>
  <si>
    <t>Gross profit</t>
  </si>
  <si>
    <t>Gross margin</t>
  </si>
  <si>
    <t>Sales expenses</t>
  </si>
  <si>
    <t>Provision of trade receivable</t>
  </si>
  <si>
    <t>Impairment of trade receivable</t>
  </si>
  <si>
    <t xml:space="preserve">% of net revenue </t>
  </si>
  <si>
    <t>Administrative expenses</t>
  </si>
  <si>
    <t xml:space="preserve">Other operational results, net </t>
  </si>
  <si>
    <t>Operational profit</t>
  </si>
  <si>
    <t>Financial expenses</t>
  </si>
  <si>
    <t>Financial income</t>
  </si>
  <si>
    <t xml:space="preserve">Financial result, net </t>
  </si>
  <si>
    <t>Income before income tax and social contributions</t>
  </si>
  <si>
    <t>Current</t>
  </si>
  <si>
    <t>Deferred</t>
  </si>
  <si>
    <t>Income tax and social contributions</t>
  </si>
  <si>
    <t>Net income</t>
  </si>
  <si>
    <t>Net margin</t>
  </si>
  <si>
    <t>Depreciation and amortization</t>
  </si>
  <si>
    <t xml:space="preserve">Financial income without APV </t>
  </si>
  <si>
    <t>Financial income from APV</t>
  </si>
  <si>
    <t>Current taxes</t>
  </si>
  <si>
    <t>Deferred taxes</t>
  </si>
  <si>
    <t>Provision for non-recurring contingencies</t>
  </si>
  <si>
    <t>Other non-recurring</t>
  </si>
  <si>
    <t>Escrow recovery</t>
  </si>
  <si>
    <t>Realization at fair value of Dumont's inventory</t>
  </si>
  <si>
    <t>Other non-cash expenses</t>
  </si>
  <si>
    <t xml:space="preserve">Impact of APV on operational result </t>
  </si>
  <si>
    <t>Extraordinary impacts</t>
  </si>
  <si>
    <t xml:space="preserve">Adjusted EBITDA </t>
  </si>
  <si>
    <t>Ebitda Margin</t>
  </si>
  <si>
    <t>Assets</t>
  </si>
  <si>
    <t>Current assets</t>
  </si>
  <si>
    <t>Cash and cash equivalents</t>
  </si>
  <si>
    <t>Restricted cash</t>
  </si>
  <si>
    <t>Marketable securities</t>
  </si>
  <si>
    <t>Accounts Receivable</t>
  </si>
  <si>
    <t xml:space="preserve">Dividends receivable </t>
  </si>
  <si>
    <t>Inventories</t>
  </si>
  <si>
    <t>IR/CSL recoverable</t>
  </si>
  <si>
    <t xml:space="preserve">Recoverable taxes </t>
  </si>
  <si>
    <t>Derivative financial instruments</t>
  </si>
  <si>
    <t>Other assets</t>
  </si>
  <si>
    <t>Non-current assets held for sale</t>
  </si>
  <si>
    <t xml:space="preserve">Non-current assets </t>
  </si>
  <si>
    <t>Bound deposits</t>
  </si>
  <si>
    <t>Advances to suppliers</t>
  </si>
  <si>
    <t xml:space="preserve">
Marketable securities</t>
  </si>
  <si>
    <t>Judicial deposits</t>
  </si>
  <si>
    <t>Investments</t>
  </si>
  <si>
    <t>Intangible</t>
  </si>
  <si>
    <t>Property and equipment</t>
  </si>
  <si>
    <t>Total assets</t>
  </si>
  <si>
    <t>Equity and liabilities</t>
  </si>
  <si>
    <t>Current liabilities</t>
  </si>
  <si>
    <t>Amount payable for acquisition of preferred shares - FIP</t>
  </si>
  <si>
    <t>Borrowings</t>
  </si>
  <si>
    <t>Suppliers</t>
  </si>
  <si>
    <t>Taxes, rates and social contributions payable</t>
  </si>
  <si>
    <t>Deferred income tax and social contributions</t>
  </si>
  <si>
    <t xml:space="preserve">Amount payable for acquisition of noncontrolling interest </t>
  </si>
  <si>
    <t>Salaries and social charges  payable</t>
  </si>
  <si>
    <t xml:space="preserve">Dividends payable </t>
  </si>
  <si>
    <t>Lease payable</t>
  </si>
  <si>
    <t xml:space="preserve">Other payables </t>
  </si>
  <si>
    <t>Provision for fees</t>
  </si>
  <si>
    <t>Accounts payable - assignment of credit rights</t>
  </si>
  <si>
    <t>Non-current liabilities</t>
  </si>
  <si>
    <t>Provision for contingencies</t>
  </si>
  <si>
    <t xml:space="preserve">Licenses payable </t>
  </si>
  <si>
    <t>Total liabilities</t>
  </si>
  <si>
    <t>Equity attributable to the parent company's owners</t>
  </si>
  <si>
    <t>Capital</t>
  </si>
  <si>
    <t>Treasury Shares</t>
  </si>
  <si>
    <t>Share issuance expenses</t>
  </si>
  <si>
    <t>Capital reserves</t>
  </si>
  <si>
    <t>Revenue reserves</t>
  </si>
  <si>
    <t xml:space="preserve">Carrying value adjustment </t>
  </si>
  <si>
    <t>Proposed additional dividend</t>
  </si>
  <si>
    <t>Reflex tax incentive profit reserve</t>
  </si>
  <si>
    <t>Total equity</t>
  </si>
  <si>
    <t>Total equity and liabilities</t>
  </si>
  <si>
    <t>Cash Fow (R$ thousand)</t>
  </si>
  <si>
    <t xml:space="preserve">Cash flows from operational activities </t>
  </si>
  <si>
    <t xml:space="preserve">Adjustments for items that do not affect cash flow </t>
  </si>
  <si>
    <t>Amortization and depreciation</t>
  </si>
  <si>
    <t>Goodwill amortization</t>
  </si>
  <si>
    <t>Allowance for recoverable value of inventories</t>
  </si>
  <si>
    <t xml:space="preserve">Allowance for recoverable value of accounts receivable </t>
  </si>
  <si>
    <t>Reversal of stock provision</t>
  </si>
  <si>
    <t>Write-off of accounts receivable for foreclosure of guarantees without generation of cash</t>
  </si>
  <si>
    <t>Adjustment to market value in noncurrent assets available for sale</t>
  </si>
  <si>
    <t xml:space="preserve">Allowance for contingencies (reversal) </t>
  </si>
  <si>
    <t>Results from disposal of permanent assets</t>
  </si>
  <si>
    <t>Impairment of permanent assets</t>
  </si>
  <si>
    <t>Provision for impairment of goodwill</t>
  </si>
  <si>
    <t>Interest on loans</t>
  </si>
  <si>
    <t>Other interest expenses and exchange variation</t>
  </si>
  <si>
    <t>Stock option premium</t>
  </si>
  <si>
    <t>Noncontrolling interest</t>
  </si>
  <si>
    <t>Others</t>
  </si>
  <si>
    <t>Changes in assets and liabilities</t>
  </si>
  <si>
    <t xml:space="preserve">Decrease (increase) in marketable securities </t>
  </si>
  <si>
    <t xml:space="preserve">Decrease (increase) in accounts receivable </t>
  </si>
  <si>
    <t>Decrease (increase) in inventories</t>
  </si>
  <si>
    <t xml:space="preserve">Decrease (increase) in recoverable taxes  </t>
  </si>
  <si>
    <t xml:space="preserve">Decrease (increase) in other assets </t>
  </si>
  <si>
    <t xml:space="preserve">Increase (decrease) in suppliers and accounts payable </t>
  </si>
  <si>
    <t xml:space="preserve">Increase (decrease) in salaries and social charges payable </t>
  </si>
  <si>
    <t xml:space="preserve">Increase (decrease) in taxes, rates and social contributions payable </t>
  </si>
  <si>
    <t>Interest paid</t>
  </si>
  <si>
    <t>Income tax and social contributions paid</t>
  </si>
  <si>
    <t xml:space="preserve">Net cash (applied in) generated by operational activities </t>
  </si>
  <si>
    <t>Cash flow from investment activities</t>
  </si>
  <si>
    <t>Reversal of goodwill from acquisition of equity interest</t>
  </si>
  <si>
    <t>Acquisition of noncontrolling interest</t>
  </si>
  <si>
    <t xml:space="preserve">Acquisition of equity interest </t>
  </si>
  <si>
    <t>Restrict Cash</t>
  </si>
  <si>
    <t>Purchases of fixed assets</t>
  </si>
  <si>
    <t xml:space="preserve">Amount received from the sale of fixed assets </t>
  </si>
  <si>
    <t>Purchases of intangible assets</t>
  </si>
  <si>
    <t xml:space="preserve">Indemnities received </t>
  </si>
  <si>
    <t>Net cash (applied in) generated by investment activities</t>
  </si>
  <si>
    <t xml:space="preserve">Cash flow from financial activities </t>
  </si>
  <si>
    <t>Acquistion of shares held in treasury</t>
  </si>
  <si>
    <t>Payment of Capital</t>
  </si>
  <si>
    <t xml:space="preserve">Expenses from issuance of shares payable </t>
  </si>
  <si>
    <t>Dividends paid to Company shareholders</t>
  </si>
  <si>
    <t>Payment of borrowings</t>
  </si>
  <si>
    <t>Lease contracted</t>
  </si>
  <si>
    <t>Lease paid</t>
  </si>
  <si>
    <t xml:space="preserve">Dividends paid to noncontrolling shareholders </t>
  </si>
  <si>
    <t>Option Plan Exercise - Stock option</t>
  </si>
  <si>
    <t>Net cash generated (applied) in financing activities</t>
  </si>
  <si>
    <t>Increase (decrease) in cash and cash equivalents</t>
  </si>
  <si>
    <t>Cash and cash equivalents at the beginning of the period</t>
  </si>
  <si>
    <t>Cash and cash equivalents at the end of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</si>
</sst>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41" formatCode="_-* #,##0_-;\-* #,##0_-;_-* &quot;-&quot;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-* #,##0_-;\-* #,##0_-;_-* &quot;-&quot;??_-;_-@_-"/>
    <numFmt numFmtId="170" formatCode="0.0%"/>
    <numFmt numFmtId="171" formatCode="#,##0.000"/>
    <numFmt numFmtId="172" formatCode="_(* #,##0_);_(* \(#,##0\);_(* &quot;-&quot;??_);_(@_)"/>
    <numFmt numFmtId="173" formatCode="#,##0.0_);\(#,##0.0\);\-\ \ \ \ \ "/>
    <numFmt numFmtId="174" formatCode="0.0000&quot;  &quot;"/>
    <numFmt numFmtId="175" formatCode="0.00000&quot;  &quot;"/>
    <numFmt numFmtId="176" formatCode="m/d/yy\ hh:mm"/>
    <numFmt numFmtId="177" formatCode="_(* #,##0_);_(* \(#,##0\);_(* &quot;-&quot;???_);_(@_)"/>
    <numFmt numFmtId="178" formatCode="#,##0\ &quot;FB&quot;;[Red]\-#,##0\ &quot;FB&quot;"/>
    <numFmt numFmtId="179" formatCode="_(* #,##0.0000_);_(* \(#,##0.0000\);_(* &quot;-&quot;????_);_(@_)"/>
    <numFmt numFmtId="180" formatCode="_-* #,##0\ _E_s_c_._-;\-* #,##0\ _E_s_c_._-;_-* &quot;-&quot;\ _E_s_c_._-;_-@_-"/>
    <numFmt numFmtId="181" formatCode="&quot;$&quot;#,##0.00000000_);[Red]\(&quot;$&quot;#,##0.00000000\)"/>
    <numFmt numFmtId="182" formatCode="_(&quot;$&quot;* #,##0_);_(&quot;$&quot;* \(#,##0\);_(&quot;$&quot;* &quot;-&quot;_);_(@_)"/>
    <numFmt numFmtId="183" formatCode="_-[$€-2]\ * #,##0.00_-;\-[$€-2]\ * #,##0.00_-;_-[$€-2]\ * &quot;-&quot;??_-"/>
    <numFmt numFmtId="184" formatCode="#,##0;[Red]#,##0&quot;-&quot;"/>
    <numFmt numFmtId="185" formatCode="#,##0.00;[Red]#,##0.00&quot;-&quot;"/>
    <numFmt numFmtId="186" formatCode="#,###,;\-#,###,"/>
    <numFmt numFmtId="187" formatCode="#,##0;\-#,##0;&quot;---&quot;"/>
    <numFmt numFmtId="188" formatCode="_ * #,##0_ ;_ * \-#,##0_ ;_ * &quot;-&quot;_ ;_ @_ "/>
    <numFmt numFmtId="189" formatCode="_ * #,##0.00_ ;_ * \-#,##0.00_ ;_ * &quot;-&quot;??_ ;_ @_ "/>
    <numFmt numFmtId="190" formatCode="_-* #,##0\ _F_-;\-* #,##0\ _F_-;_-* &quot;-&quot;\ _F_-;_-@_-"/>
    <numFmt numFmtId="191" formatCode="_(&quot;R$ &quot;* #,##0.00_);_(&quot;R$ &quot;* \(#,##0.00\);_(&quot;R$ &quot;* &quot;-&quot;??_);_(@_)"/>
    <numFmt numFmtId="192" formatCode="_ &quot;S/&quot;* #,##0_ ;_ &quot;S/&quot;* \-#,##0_ ;_ &quot;S/&quot;* &quot;-&quot;_ ;_ @_ "/>
    <numFmt numFmtId="193" formatCode="_ &quot;S/&quot;* #,##0.00_ ;_ &quot;S/&quot;* \-#,##0.00_ ;_ &quot;S/&quot;* &quot;-&quot;??_ ;_ @_ "/>
    <numFmt numFmtId="194" formatCode="&quot;  -  &quot;0&quot;  -  &quot;;&quot;  -  &quot;@&quot;  -  &quot;"/>
    <numFmt numFmtId="195" formatCode="_(* #,##0.0_);_(* \(#,##0.0\);_(* &quot;-&quot;????_);_(@_)"/>
    <numFmt numFmtId="196" formatCode="##0.00%;\(##0.00\)%"/>
    <numFmt numFmtId="197" formatCode="&quot;$&quot;#,##0_);\(&quot;$&quot;#,##0\)"/>
    <numFmt numFmtId="198" formatCode="_(* #,##0_%\);_(* \(#,##0\);_(* &quot;-&quot;_);_(@_)"/>
    <numFmt numFmtId="199" formatCode="_(* #,##0.000_);_(* \(#,##0.000\);_(* &quot;-&quot;????_);_(@_)"/>
    <numFmt numFmtId="200" formatCode="_(* #,##0.00_);_(* \(#,##0.00\);_(* &quot;-&quot;????_);_(@_)"/>
    <numFmt numFmtId="201" formatCode="&quot;f.&quot;\ #,##0_-;[Red]&quot;f.&quot;\ #,##0\-"/>
    <numFmt numFmtId="202" formatCode="&quot;f.&quot;\ #,##0.00_-;[Red]&quot;f.&quot;\ #,##0.00\-"/>
    <numFmt numFmtId="203" formatCode="&quot;$&quot;#,##0_);[Red]\(&quot;$&quot;#,##0\)"/>
    <numFmt numFmtId="204" formatCode="&quot;$&quot;#,##0.00_);[Red]\(&quot;$&quot;#,##0.00\)"/>
    <numFmt numFmtId="205" formatCode="#,##0_);\(#,##0\);\-"/>
    <numFmt numFmtId="206" formatCode="#,##0.0_);\(#,##0.0\);\-"/>
    <numFmt numFmtId="207" formatCode="#,##0.0"/>
    <numFmt numFmtId="208" formatCode="0.0\ \p\.\p\."/>
    <numFmt numFmtId="209" formatCode="_-* #,##0.0_-;\-* #,##0.0_-;_-* &quot;-&quot;??_-;_-@_-"/>
    <numFmt numFmtId="210" formatCode="0.0"/>
    <numFmt numFmtId="211" formatCode="#,##0_ ;\-#,##0\ "/>
    <numFmt numFmtId="212" formatCode="[$-416]mmm\-yy;@"/>
    <numFmt numFmtId="213" formatCode="_(* #,##0.0_);_(* \(#,##0.0\);_(* &quot;-&quot;??_);_(@_)"/>
    <numFmt numFmtId="214" formatCode="_(* #,##0.000_);_(* \(#,##0.000\);_(* &quot;-&quot;??_);_(@_)"/>
    <numFmt numFmtId="215" formatCode="0;[Red]0"/>
    <numFmt numFmtId="216" formatCode="_-* #,##0.0000_-;\-* #,##0.0000_-;_-* &quot;-&quot;??_-;_-@_-"/>
    <numFmt numFmtId="217" formatCode="_-* #,##0.000_-;\-* #,##0.000_-;_-* &quot;-&quot;??_-;_-@_-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i/>
      <sz val="9"/>
      <color indexed="17"/>
      <name val="Calibri"/>
      <family val="2"/>
    </font>
    <font>
      <i/>
      <sz val="9"/>
      <color indexed="10"/>
      <name val="Calibri"/>
      <family val="2"/>
    </font>
    <font>
      <b/>
      <sz val="9"/>
      <color indexed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b/>
      <sz val="12"/>
      <color indexed="8"/>
      <name val="Arial"/>
      <family val="2"/>
    </font>
    <font>
      <sz val="10"/>
      <name val="BERNHARD"/>
    </font>
    <font>
      <sz val="10"/>
      <name val="Helv"/>
    </font>
    <font>
      <b/>
      <sz val="10"/>
      <name val="MS Sans Serif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b/>
      <sz val="1"/>
      <color indexed="8"/>
      <name val="Courier"/>
      <family val="3"/>
    </font>
    <font>
      <b/>
      <sz val="12"/>
      <color indexed="8"/>
      <name val="Times New Roman"/>
      <family val="1"/>
    </font>
    <font>
      <sz val="7"/>
      <name val="Small Fonts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8"/>
      <name val="Helv"/>
    </font>
    <font>
      <b/>
      <u/>
      <sz val="12"/>
      <name val="Arial"/>
      <family val="2"/>
    </font>
    <font>
      <sz val="10"/>
      <color indexed="32"/>
      <name val="Arial"/>
      <family val="2"/>
    </font>
    <font>
      <b/>
      <sz val="12"/>
      <name val="MS Sans Serif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9"/>
      <color indexed="9"/>
      <name val="Calibri"/>
      <family val="2"/>
    </font>
    <font>
      <i/>
      <sz val="11"/>
      <color theme="1"/>
      <name val="Calibri"/>
      <family val="2"/>
      <scheme val="minor"/>
    </font>
    <font>
      <b/>
      <i/>
      <sz val="9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sz val="7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rgb="FFFF0000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sz val="12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indexed="8"/>
      <name val="Calibri"/>
      <family val="2"/>
    </font>
    <font>
      <i/>
      <sz val="9"/>
      <name val="Calibri"/>
      <family val="2"/>
    </font>
    <font>
      <b/>
      <i/>
      <sz val="9"/>
      <color indexed="8"/>
      <name val="Calibri"/>
      <family val="2"/>
    </font>
    <font>
      <sz val="9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19"/>
      </patternFill>
    </fill>
    <fill>
      <patternFill patternType="solid">
        <fgColor indexed="26"/>
        <bgColor indexed="19"/>
      </patternFill>
    </fill>
    <fill>
      <patternFill patternType="solid">
        <fgColor indexed="51"/>
        <bgColor indexed="19"/>
      </patternFill>
    </fill>
    <fill>
      <patternFill patternType="solid">
        <fgColor indexed="22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9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7" fontId="1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3" fontId="14" fillId="0" borderId="0" applyFont="0" applyAlignment="0">
      <alignment horizontal="center"/>
    </xf>
    <xf numFmtId="173" fontId="15" fillId="0" borderId="0" applyFont="0" applyFill="0" applyBorder="0" applyAlignment="0" applyProtection="0"/>
    <xf numFmtId="173" fontId="14" fillId="0" borderId="0" applyFont="0" applyAlignment="0">
      <alignment horizontal="center"/>
    </xf>
    <xf numFmtId="3" fontId="16" fillId="9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7" fillId="10" borderId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8" fillId="11" borderId="26">
      <alignment horizontal="center"/>
    </xf>
    <xf numFmtId="0" fontId="19" fillId="10" borderId="0"/>
    <xf numFmtId="0" fontId="20" fillId="10" borderId="0">
      <alignment horizontal="center"/>
    </xf>
    <xf numFmtId="0" fontId="21" fillId="10" borderId="0">
      <alignment horizontal="left"/>
    </xf>
    <xf numFmtId="3" fontId="19" fillId="12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1" fillId="13" borderId="27">
      <alignment horizontal="center"/>
    </xf>
    <xf numFmtId="3" fontId="22" fillId="8" borderId="26" applyNumberFormat="0">
      <alignment horizont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177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3" fillId="0" borderId="0"/>
    <xf numFmtId="0" fontId="24" fillId="0" borderId="0"/>
    <xf numFmtId="0" fontId="23" fillId="0" borderId="0"/>
    <xf numFmtId="0" fontId="24" fillId="0" borderId="0"/>
    <xf numFmtId="37" fontId="25" fillId="0" borderId="0" applyBorder="0" applyAlignment="0">
      <alignment horizontal="center"/>
    </xf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/>
    <xf numFmtId="0" fontId="1" fillId="0" borderId="0" applyNumberFormat="0" applyAlignment="0"/>
    <xf numFmtId="18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" fontId="9" fillId="0" borderId="25" applyFont="0" applyFill="0" applyBorder="0" applyAlignment="0" applyProtection="0">
      <alignment horizontal="center"/>
    </xf>
    <xf numFmtId="14" fontId="1" fillId="0" borderId="0" applyFill="0" applyBorder="0" applyAlignment="0"/>
    <xf numFmtId="14" fontId="1" fillId="0" borderId="0" applyFill="0" applyBorder="0" applyAlignment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26" fillId="0" borderId="0">
      <protection locked="0"/>
    </xf>
    <xf numFmtId="3" fontId="27" fillId="14" borderId="26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83" fontId="16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8" fontId="1" fillId="0" borderId="0" applyNumberFormat="0" applyBorder="0" applyAlignment="0" applyProtection="0"/>
    <xf numFmtId="38" fontId="1" fillId="0" borderId="0" applyNumberFormat="0" applyBorder="0" applyAlignment="0" applyProtection="0"/>
    <xf numFmtId="165" fontId="11" fillId="0" borderId="0"/>
    <xf numFmtId="0" fontId="1" fillId="0" borderId="0" applyNumberFormat="0" applyAlignment="0" applyProtection="0">
      <alignment horizontal="left" vertical="center"/>
    </xf>
    <xf numFmtId="0" fontId="1" fillId="0" borderId="0" applyNumberFormat="0" applyAlignment="0" applyProtection="0">
      <alignment horizontal="left" vertical="center"/>
    </xf>
    <xf numFmtId="0" fontId="1" fillId="0" borderId="0">
      <alignment horizontal="left" vertical="center"/>
    </xf>
    <xf numFmtId="0" fontId="1" fillId="0" borderId="0">
      <alignment horizontal="left" vertic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/>
    <xf numFmtId="0" fontId="1" fillId="0" borderId="0"/>
    <xf numFmtId="4" fontId="9" fillId="15" borderId="0"/>
    <xf numFmtId="4" fontId="9" fillId="15" borderId="0"/>
    <xf numFmtId="4" fontId="9" fillId="15" borderId="0"/>
    <xf numFmtId="4" fontId="9" fillId="15" borderId="0"/>
    <xf numFmtId="0" fontId="1" fillId="0" borderId="0" applyNumberFormat="0" applyAlignment="0" applyProtection="0"/>
    <xf numFmtId="10" fontId="1" fillId="0" borderId="0" applyNumberFormat="0" applyBorder="0" applyAlignment="0" applyProtection="0"/>
    <xf numFmtId="10" fontId="1" fillId="0" borderId="0" applyNumberFormat="0" applyBorder="0" applyAlignment="0" applyProtection="0"/>
    <xf numFmtId="0" fontId="1" fillId="0" borderId="0" applyNumberFormat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" fillId="0" borderId="0"/>
    <xf numFmtId="0" fontId="1" fillId="0" borderId="0"/>
    <xf numFmtId="186" fontId="1" fillId="0" borderId="0" applyFont="0" applyFill="0" applyBorder="0" applyAlignment="0" applyProtection="0">
      <alignment horizontal="center"/>
    </xf>
    <xf numFmtId="186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0" fontId="1" fillId="0" borderId="0" applyNumberFormat="0" applyFill="0" applyBorder="0" applyAlignment="0" applyProtection="0">
      <alignment vertical="top"/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188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>
      <protection locked="0"/>
    </xf>
    <xf numFmtId="3" fontId="29" fillId="9" borderId="25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7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31" fillId="16" borderId="24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26" fillId="0" borderId="0"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4" fontId="1" fillId="0" borderId="0" applyNumberFormat="0" applyFill="0" applyBorder="0" applyAlignment="0" applyProtection="0">
      <alignment horizontal="left"/>
    </xf>
    <xf numFmtId="14" fontId="1" fillId="0" borderId="0" applyNumberFormat="0" applyFill="0" applyBorder="0" applyAlignment="0" applyProtection="0">
      <alignment horizontal="left"/>
    </xf>
    <xf numFmtId="38" fontId="33" fillId="0" borderId="0"/>
    <xf numFmtId="3" fontId="15" fillId="13" borderId="27">
      <alignment horizontal="center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64" fontId="9" fillId="0" borderId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7" fontId="1" fillId="0" borderId="0" applyNumberFormat="0" applyFont="0" applyBorder="0"/>
    <xf numFmtId="197" fontId="1" fillId="0" borderId="0" applyNumberFormat="0" applyFont="0" applyBorder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17" borderId="0">
      <alignment horizontal="left"/>
    </xf>
    <xf numFmtId="0" fontId="1" fillId="0" borderId="0"/>
    <xf numFmtId="0" fontId="1" fillId="0" borderId="0"/>
    <xf numFmtId="3" fontId="16" fillId="17" borderId="0">
      <alignment horizontal="left"/>
    </xf>
    <xf numFmtId="198" fontId="9" fillId="0" borderId="0"/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40" fontId="1" fillId="0" borderId="0" applyBorder="0">
      <alignment horizontal="right"/>
    </xf>
    <xf numFmtId="40" fontId="1" fillId="0" borderId="0" applyBorder="0">
      <alignment horizontal="right"/>
    </xf>
    <xf numFmtId="49" fontId="1" fillId="0" borderId="0" applyFill="0" applyBorder="0" applyAlignment="0"/>
    <xf numFmtId="49" fontId="1" fillId="0" borderId="0" applyFill="0" applyBorder="0" applyAlignment="0"/>
    <xf numFmtId="199" fontId="1" fillId="0" borderId="0" applyFill="0" applyBorder="0" applyAlignment="0"/>
    <xf numFmtId="199" fontId="1" fillId="0" borderId="0" applyFill="0" applyBorder="0" applyAlignment="0"/>
    <xf numFmtId="200" fontId="1" fillId="0" borderId="0" applyFill="0" applyBorder="0" applyAlignment="0"/>
    <xf numFmtId="200" fontId="1" fillId="0" borderId="0" applyFill="0" applyBorder="0" applyAlignment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34" fillId="17" borderId="0">
      <alignment horizont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98" fontId="9" fillId="0" borderId="0">
      <alignment horizontal="left"/>
    </xf>
    <xf numFmtId="3" fontId="29" fillId="3" borderId="25">
      <alignment horizontal="center" vertical="center"/>
    </xf>
    <xf numFmtId="3" fontId="35" fillId="17" borderId="0">
      <alignment horizontal="left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6" fillId="0" borderId="28">
      <protection locked="0"/>
    </xf>
    <xf numFmtId="3" fontId="17" fillId="18" borderId="0">
      <alignment horizontal="right"/>
    </xf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05" fontId="36" fillId="0" borderId="0">
      <alignment horizontal="center"/>
    </xf>
    <xf numFmtId="205" fontId="36" fillId="0" borderId="0" applyFont="0" applyFill="0" applyBorder="0" applyAlignment="0" applyProtection="0">
      <alignment horizontal="center"/>
    </xf>
    <xf numFmtId="206" fontId="31" fillId="0" borderId="0" applyFont="0" applyFill="0" applyBorder="0" applyAlignment="0" applyProtection="0"/>
    <xf numFmtId="206" fontId="25" fillId="0" borderId="0" applyFont="0" applyFill="0" applyBorder="0" applyAlignment="0" applyProtection="0"/>
    <xf numFmtId="206" fontId="25" fillId="0" borderId="0">
      <alignment horizont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5" fillId="0" borderId="0"/>
    <xf numFmtId="0" fontId="9" fillId="0" borderId="0"/>
    <xf numFmtId="0" fontId="9" fillId="0" borderId="0"/>
    <xf numFmtId="0" fontId="60" fillId="0" borderId="0"/>
    <xf numFmtId="167" fontId="1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0" fontId="9" fillId="0" borderId="0"/>
  </cellStyleXfs>
  <cellXfs count="417">
    <xf numFmtId="0" fontId="0" fillId="0" borderId="0" xfId="0"/>
    <xf numFmtId="0" fontId="2" fillId="2" borderId="1" xfId="0" applyFont="1" applyFill="1" applyBorder="1" applyAlignment="1">
      <alignment horizontal="center"/>
    </xf>
    <xf numFmtId="15" fontId="7" fillId="2" borderId="16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3" borderId="5" xfId="0" applyFont="1" applyFill="1" applyBorder="1"/>
    <xf numFmtId="171" fontId="3" fillId="3" borderId="5" xfId="0" applyNumberFormat="1" applyFont="1" applyFill="1" applyBorder="1"/>
    <xf numFmtId="3" fontId="4" fillId="4" borderId="5" xfId="0" applyNumberFormat="1" applyFont="1" applyFill="1" applyBorder="1" applyAlignment="1">
      <alignment horizontal="right"/>
    </xf>
    <xf numFmtId="170" fontId="5" fillId="3" borderId="5" xfId="2" applyNumberFormat="1" applyFont="1" applyFill="1" applyBorder="1" applyAlignment="1">
      <alignment horizontal="right"/>
    </xf>
    <xf numFmtId="170" fontId="6" fillId="3" borderId="5" xfId="2" applyNumberFormat="1" applyFont="1" applyFill="1" applyBorder="1" applyAlignment="1">
      <alignment horizontal="right"/>
    </xf>
    <xf numFmtId="0" fontId="3" fillId="3" borderId="0" xfId="0" applyFont="1" applyFill="1"/>
    <xf numFmtId="3" fontId="8" fillId="6" borderId="5" xfId="1" applyNumberFormat="1" applyFont="1" applyFill="1" applyBorder="1" applyAlignment="1">
      <alignment horizontal="right"/>
    </xf>
    <xf numFmtId="3" fontId="8" fillId="3" borderId="5" xfId="1" applyNumberFormat="1" applyFont="1" applyFill="1" applyBorder="1" applyAlignment="1">
      <alignment horizontal="right"/>
    </xf>
    <xf numFmtId="3" fontId="8" fillId="3" borderId="7" xfId="1" applyNumberFormat="1" applyFont="1" applyFill="1" applyBorder="1" applyAlignment="1">
      <alignment horizontal="right"/>
    </xf>
    <xf numFmtId="3" fontId="8" fillId="3" borderId="3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3" fontId="4" fillId="5" borderId="5" xfId="1" applyNumberFormat="1" applyFont="1" applyFill="1" applyBorder="1" applyAlignment="1">
      <alignment horizontal="right"/>
    </xf>
    <xf numFmtId="169" fontId="4" fillId="5" borderId="5" xfId="1" applyNumberFormat="1" applyFont="1" applyFill="1" applyBorder="1" applyAlignment="1">
      <alignment horizontal="right"/>
    </xf>
    <xf numFmtId="167" fontId="8" fillId="3" borderId="5" xfId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2" borderId="11" xfId="1" applyNumberFormat="1" applyFont="1" applyFill="1" applyBorder="1" applyAlignment="1">
      <alignment horizontal="right"/>
    </xf>
    <xf numFmtId="169" fontId="3" fillId="3" borderId="15" xfId="1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9" fontId="3" fillId="3" borderId="5" xfId="1" applyNumberFormat="1" applyFont="1" applyFill="1" applyBorder="1" applyAlignment="1">
      <alignment horizontal="right"/>
    </xf>
    <xf numFmtId="170" fontId="3" fillId="3" borderId="5" xfId="2" applyNumberFormat="1" applyFont="1" applyFill="1" applyBorder="1" applyAlignment="1">
      <alignment horizontal="right"/>
    </xf>
    <xf numFmtId="171" fontId="3" fillId="3" borderId="5" xfId="0" applyNumberFormat="1" applyFont="1" applyFill="1" applyBorder="1" applyAlignment="1">
      <alignment horizontal="right"/>
    </xf>
    <xf numFmtId="169" fontId="4" fillId="4" borderId="5" xfId="1" applyNumberFormat="1" applyFont="1" applyFill="1" applyBorder="1" applyAlignment="1">
      <alignment horizontal="right"/>
    </xf>
    <xf numFmtId="169" fontId="3" fillId="0" borderId="5" xfId="1" applyNumberFormat="1" applyFont="1" applyFill="1" applyBorder="1" applyAlignment="1">
      <alignment horizontal="right"/>
    </xf>
    <xf numFmtId="169" fontId="3" fillId="3" borderId="0" xfId="1" applyNumberFormat="1" applyFont="1" applyFill="1" applyBorder="1" applyAlignment="1">
      <alignment horizontal="right"/>
    </xf>
    <xf numFmtId="169" fontId="3" fillId="3" borderId="7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18" xfId="0" applyFont="1" applyFill="1" applyBorder="1" applyAlignment="1">
      <alignment horizontal="right"/>
    </xf>
    <xf numFmtId="169" fontId="2" fillId="2" borderId="5" xfId="1" applyNumberFormat="1" applyFont="1" applyFill="1" applyBorder="1" applyAlignment="1">
      <alignment horizontal="right"/>
    </xf>
    <xf numFmtId="169" fontId="2" fillId="2" borderId="4" xfId="1" applyNumberFormat="1" applyFont="1" applyFill="1" applyBorder="1" applyAlignment="1">
      <alignment horizontal="right"/>
    </xf>
    <xf numFmtId="169" fontId="2" fillId="2" borderId="10" xfId="1" applyNumberFormat="1" applyFont="1" applyFill="1" applyBorder="1" applyAlignment="1">
      <alignment horizontal="right"/>
    </xf>
    <xf numFmtId="0" fontId="3" fillId="7" borderId="0" xfId="0" applyFont="1" applyFill="1"/>
    <xf numFmtId="3" fontId="3" fillId="7" borderId="0" xfId="0" applyNumberFormat="1" applyFont="1" applyFill="1"/>
    <xf numFmtId="3" fontId="3" fillId="3" borderId="0" xfId="0" applyNumberFormat="1" applyFont="1" applyFill="1"/>
    <xf numFmtId="170" fontId="3" fillId="3" borderId="0" xfId="2" applyNumberFormat="1" applyFont="1" applyFill="1"/>
    <xf numFmtId="171" fontId="3" fillId="6" borderId="5" xfId="0" applyNumberFormat="1" applyFont="1" applyFill="1" applyBorder="1"/>
    <xf numFmtId="170" fontId="5" fillId="6" borderId="5" xfId="757" applyNumberFormat="1" applyFont="1" applyFill="1" applyBorder="1"/>
    <xf numFmtId="207" fontId="3" fillId="6" borderId="5" xfId="0" applyNumberFormat="1" applyFont="1" applyFill="1" applyBorder="1"/>
    <xf numFmtId="3" fontId="3" fillId="6" borderId="5" xfId="0" applyNumberFormat="1" applyFont="1" applyFill="1" applyBorder="1"/>
    <xf numFmtId="207" fontId="3" fillId="3" borderId="5" xfId="0" applyNumberFormat="1" applyFont="1" applyFill="1" applyBorder="1"/>
    <xf numFmtId="169" fontId="8" fillId="3" borderId="0" xfId="1" applyNumberFormat="1" applyFont="1" applyFill="1"/>
    <xf numFmtId="171" fontId="3" fillId="3" borderId="3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8" fillId="3" borderId="5" xfId="1" applyNumberFormat="1" applyFont="1" applyFill="1" applyBorder="1"/>
    <xf numFmtId="169" fontId="0" fillId="0" borderId="0" xfId="0" applyNumberFormat="1"/>
    <xf numFmtId="3" fontId="3" fillId="3" borderId="15" xfId="0" applyNumberFormat="1" applyFont="1" applyFill="1" applyBorder="1" applyAlignment="1">
      <alignment horizontal="right"/>
    </xf>
    <xf numFmtId="0" fontId="38" fillId="0" borderId="0" xfId="0" applyFont="1" applyAlignment="1">
      <alignment wrapText="1"/>
    </xf>
    <xf numFmtId="208" fontId="5" fillId="3" borderId="13" xfId="2" applyNumberFormat="1" applyFont="1" applyFill="1" applyBorder="1" applyAlignment="1">
      <alignment horizontal="right"/>
    </xf>
    <xf numFmtId="3" fontId="8" fillId="0" borderId="5" xfId="1" quotePrefix="1" applyNumberFormat="1" applyFont="1" applyFill="1" applyBorder="1" applyAlignment="1">
      <alignment horizontal="right"/>
    </xf>
    <xf numFmtId="170" fontId="39" fillId="3" borderId="15" xfId="2" applyNumberFormat="1" applyFont="1" applyFill="1" applyBorder="1" applyAlignment="1">
      <alignment horizontal="right"/>
    </xf>
    <xf numFmtId="169" fontId="39" fillId="3" borderId="17" xfId="1" applyNumberFormat="1" applyFont="1" applyFill="1" applyBorder="1" applyAlignment="1">
      <alignment horizontal="right"/>
    </xf>
    <xf numFmtId="170" fontId="39" fillId="3" borderId="5" xfId="2" applyNumberFormat="1" applyFont="1" applyFill="1" applyBorder="1" applyAlignment="1">
      <alignment horizontal="right"/>
    </xf>
    <xf numFmtId="169" fontId="39" fillId="3" borderId="13" xfId="1" applyNumberFormat="1" applyFont="1" applyFill="1" applyBorder="1" applyAlignment="1">
      <alignment horizontal="right"/>
    </xf>
    <xf numFmtId="2" fontId="39" fillId="3" borderId="5" xfId="0" applyNumberFormat="1" applyFont="1" applyFill="1" applyBorder="1" applyAlignment="1">
      <alignment horizontal="right"/>
    </xf>
    <xf numFmtId="170" fontId="40" fillId="4" borderId="5" xfId="2" applyNumberFormat="1" applyFont="1" applyFill="1" applyBorder="1" applyAlignment="1">
      <alignment horizontal="right"/>
    </xf>
    <xf numFmtId="169" fontId="40" fillId="4" borderId="13" xfId="1" applyNumberFormat="1" applyFont="1" applyFill="1" applyBorder="1" applyAlignment="1">
      <alignment horizontal="right"/>
    </xf>
    <xf numFmtId="170" fontId="39" fillId="0" borderId="5" xfId="2" applyNumberFormat="1" applyFont="1" applyFill="1" applyBorder="1" applyAlignment="1">
      <alignment horizontal="right"/>
    </xf>
    <xf numFmtId="170" fontId="41" fillId="2" borderId="9" xfId="2" applyNumberFormat="1" applyFont="1" applyFill="1" applyBorder="1" applyAlignment="1">
      <alignment horizontal="right"/>
    </xf>
    <xf numFmtId="170" fontId="39" fillId="0" borderId="3" xfId="2" applyNumberFormat="1" applyFont="1" applyFill="1" applyBorder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/>
    <xf numFmtId="0" fontId="39" fillId="3" borderId="0" xfId="0" applyFont="1" applyFill="1" applyAlignment="1">
      <alignment horizontal="right"/>
    </xf>
    <xf numFmtId="0" fontId="39" fillId="3" borderId="18" xfId="0" applyFont="1" applyFill="1" applyBorder="1" applyAlignment="1">
      <alignment horizontal="right"/>
    </xf>
    <xf numFmtId="170" fontId="39" fillId="3" borderId="7" xfId="2" applyNumberFormat="1" applyFont="1" applyFill="1" applyBorder="1" applyAlignment="1">
      <alignment horizontal="right"/>
    </xf>
    <xf numFmtId="169" fontId="39" fillId="3" borderId="12" xfId="1" applyNumberFormat="1" applyFont="1" applyFill="1" applyBorder="1" applyAlignment="1">
      <alignment horizontal="right"/>
    </xf>
    <xf numFmtId="170" fontId="40" fillId="5" borderId="5" xfId="2" applyNumberFormat="1" applyFont="1" applyFill="1" applyBorder="1" applyAlignment="1">
      <alignment horizontal="right"/>
    </xf>
    <xf numFmtId="169" fontId="40" fillId="5" borderId="13" xfId="1" applyNumberFormat="1" applyFont="1" applyFill="1" applyBorder="1" applyAlignment="1">
      <alignment horizontal="right"/>
    </xf>
    <xf numFmtId="170" fontId="43" fillId="2" borderId="14" xfId="2" applyNumberFormat="1" applyFont="1" applyFill="1" applyBorder="1" applyAlignment="1">
      <alignment horizontal="right"/>
    </xf>
    <xf numFmtId="169" fontId="43" fillId="2" borderId="23" xfId="1" applyNumberFormat="1" applyFont="1" applyFill="1" applyBorder="1" applyAlignment="1">
      <alignment horizontal="right"/>
    </xf>
    <xf numFmtId="170" fontId="39" fillId="3" borderId="0" xfId="2" applyNumberFormat="1" applyFont="1" applyFill="1" applyBorder="1" applyAlignment="1">
      <alignment horizontal="right"/>
    </xf>
    <xf numFmtId="170" fontId="43" fillId="2" borderId="11" xfId="2" applyNumberFormat="1" applyFont="1" applyFill="1" applyBorder="1" applyAlignment="1">
      <alignment horizontal="right"/>
    </xf>
    <xf numFmtId="169" fontId="43" fillId="2" borderId="20" xfId="1" applyNumberFormat="1" applyFont="1" applyFill="1" applyBorder="1" applyAlignment="1">
      <alignment horizontal="right"/>
    </xf>
    <xf numFmtId="0" fontId="39" fillId="3" borderId="0" xfId="0" applyFont="1" applyFill="1"/>
    <xf numFmtId="170" fontId="39" fillId="3" borderId="0" xfId="2" applyNumberFormat="1" applyFont="1" applyFill="1"/>
    <xf numFmtId="0" fontId="39" fillId="3" borderId="5" xfId="0" applyFont="1" applyFill="1" applyBorder="1" applyAlignment="1">
      <alignment horizontal="right"/>
    </xf>
    <xf numFmtId="170" fontId="43" fillId="2" borderId="5" xfId="2" applyNumberFormat="1" applyFont="1" applyFill="1" applyBorder="1" applyAlignment="1">
      <alignment horizontal="right"/>
    </xf>
    <xf numFmtId="0" fontId="39" fillId="3" borderId="13" xfId="0" applyFont="1" applyFill="1" applyBorder="1" applyAlignment="1">
      <alignment horizontal="right"/>
    </xf>
    <xf numFmtId="169" fontId="43" fillId="2" borderId="13" xfId="1" applyNumberFormat="1" applyFont="1" applyFill="1" applyBorder="1" applyAlignment="1">
      <alignment horizontal="right"/>
    </xf>
    <xf numFmtId="169" fontId="0" fillId="0" borderId="0" xfId="1" applyNumberFormat="1" applyFont="1"/>
    <xf numFmtId="209" fontId="3" fillId="3" borderId="5" xfId="1" applyNumberFormat="1" applyFont="1" applyFill="1" applyBorder="1" applyAlignment="1">
      <alignment horizontal="right"/>
    </xf>
    <xf numFmtId="0" fontId="43" fillId="2" borderId="1" xfId="0" applyFont="1" applyFill="1" applyBorder="1" applyAlignment="1">
      <alignment horizontal="center"/>
    </xf>
    <xf numFmtId="0" fontId="43" fillId="2" borderId="16" xfId="0" applyFont="1" applyFill="1" applyBorder="1" applyAlignment="1">
      <alignment horizontal="center"/>
    </xf>
    <xf numFmtId="210" fontId="3" fillId="3" borderId="0" xfId="0" applyNumberFormat="1" applyFont="1" applyFill="1"/>
    <xf numFmtId="210" fontId="3" fillId="3" borderId="0" xfId="0" applyNumberFormat="1" applyFont="1" applyFill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211" fontId="41" fillId="2" borderId="19" xfId="1" applyNumberFormat="1" applyFont="1" applyFill="1" applyBorder="1" applyAlignment="1">
      <alignment horizontal="right"/>
    </xf>
    <xf numFmtId="211" fontId="7" fillId="2" borderId="9" xfId="1" applyNumberFormat="1" applyFont="1" applyFill="1" applyBorder="1" applyAlignment="1">
      <alignment horizontal="right"/>
    </xf>
    <xf numFmtId="211" fontId="3" fillId="3" borderId="5" xfId="1" applyNumberFormat="1" applyFont="1" applyFill="1" applyBorder="1" applyAlignment="1">
      <alignment horizontal="right"/>
    </xf>
    <xf numFmtId="211" fontId="3" fillId="3" borderId="13" xfId="1" applyNumberFormat="1" applyFont="1" applyFill="1" applyBorder="1" applyAlignment="1">
      <alignment horizontal="right"/>
    </xf>
    <xf numFmtId="3" fontId="40" fillId="5" borderId="13" xfId="1" applyNumberFormat="1" applyFont="1" applyFill="1" applyBorder="1" applyAlignment="1">
      <alignment horizontal="right"/>
    </xf>
    <xf numFmtId="3" fontId="43" fillId="2" borderId="20" xfId="1" applyNumberFormat="1" applyFont="1" applyFill="1" applyBorder="1" applyAlignment="1">
      <alignment horizontal="right"/>
    </xf>
    <xf numFmtId="211" fontId="39" fillId="3" borderId="13" xfId="1" applyNumberFormat="1" applyFont="1" applyFill="1" applyBorder="1" applyAlignment="1">
      <alignment horizontal="right"/>
    </xf>
    <xf numFmtId="211" fontId="3" fillId="0" borderId="5" xfId="1" applyNumberFormat="1" applyFont="1" applyFill="1" applyBorder="1" applyAlignment="1">
      <alignment horizontal="right"/>
    </xf>
    <xf numFmtId="0" fontId="3" fillId="0" borderId="0" xfId="0" applyFont="1"/>
    <xf numFmtId="170" fontId="0" fillId="0" borderId="0" xfId="2" applyNumberFormat="1" applyFont="1"/>
    <xf numFmtId="169" fontId="3" fillId="3" borderId="0" xfId="1" applyNumberFormat="1" applyFont="1" applyFill="1"/>
    <xf numFmtId="0" fontId="45" fillId="0" borderId="0" xfId="982"/>
    <xf numFmtId="14" fontId="45" fillId="0" borderId="0" xfId="982" applyNumberFormat="1"/>
    <xf numFmtId="0" fontId="45" fillId="0" borderId="0" xfId="982" applyAlignment="1">
      <alignment horizontal="center"/>
    </xf>
    <xf numFmtId="212" fontId="45" fillId="0" borderId="25" xfId="982" applyNumberFormat="1" applyBorder="1"/>
    <xf numFmtId="0" fontId="9" fillId="0" borderId="25" xfId="982" applyFont="1" applyBorder="1"/>
    <xf numFmtId="172" fontId="0" fillId="0" borderId="0" xfId="943" applyNumberFormat="1" applyFont="1"/>
    <xf numFmtId="172" fontId="45" fillId="0" borderId="0" xfId="982" applyNumberFormat="1"/>
    <xf numFmtId="172" fontId="0" fillId="0" borderId="0" xfId="943" applyNumberFormat="1" applyFont="1" applyFill="1"/>
    <xf numFmtId="0" fontId="9" fillId="0" borderId="0" xfId="982" applyFont="1"/>
    <xf numFmtId="172" fontId="0" fillId="0" borderId="25" xfId="943" applyNumberFormat="1" applyFont="1" applyFill="1" applyBorder="1"/>
    <xf numFmtId="172" fontId="0" fillId="0" borderId="25" xfId="943" applyNumberFormat="1" applyFont="1" applyBorder="1"/>
    <xf numFmtId="172" fontId="9" fillId="0" borderId="0" xfId="943" applyNumberFormat="1" applyFont="1"/>
    <xf numFmtId="172" fontId="0" fillId="0" borderId="28" xfId="943" applyNumberFormat="1" applyFont="1" applyBorder="1"/>
    <xf numFmtId="0" fontId="9" fillId="0" borderId="0" xfId="982" applyFont="1" applyAlignment="1">
      <alignment horizontal="center"/>
    </xf>
    <xf numFmtId="213" fontId="0" fillId="0" borderId="0" xfId="943" applyNumberFormat="1" applyFont="1"/>
    <xf numFmtId="172" fontId="0" fillId="0" borderId="0" xfId="943" applyNumberFormat="1" applyFont="1" applyBorder="1"/>
    <xf numFmtId="172" fontId="0" fillId="20" borderId="0" xfId="943" applyNumberFormat="1" applyFont="1" applyFill="1"/>
    <xf numFmtId="172" fontId="0" fillId="0" borderId="0" xfId="943" applyNumberFormat="1" applyFont="1" applyFill="1" applyBorder="1"/>
    <xf numFmtId="172" fontId="0" fillId="20" borderId="25" xfId="943" applyNumberFormat="1" applyFont="1" applyFill="1" applyBorder="1"/>
    <xf numFmtId="213" fontId="9" fillId="0" borderId="0" xfId="943" applyNumberFormat="1" applyFont="1" applyFill="1"/>
    <xf numFmtId="172" fontId="0" fillId="0" borderId="28" xfId="943" applyNumberFormat="1" applyFont="1" applyFill="1" applyBorder="1"/>
    <xf numFmtId="213" fontId="45" fillId="0" borderId="0" xfId="982" applyNumberFormat="1"/>
    <xf numFmtId="0" fontId="52" fillId="0" borderId="0" xfId="983" applyFont="1" applyAlignment="1" applyProtection="1">
      <alignment horizontal="left" indent="1"/>
      <protection locked="0"/>
    </xf>
    <xf numFmtId="0" fontId="52" fillId="0" borderId="0" xfId="983" applyFont="1" applyAlignment="1" applyProtection="1">
      <alignment horizontal="left" indent="2"/>
      <protection locked="0"/>
    </xf>
    <xf numFmtId="172" fontId="1" fillId="0" borderId="0" xfId="4" quotePrefix="1" applyNumberFormat="1" applyFont="1" applyFill="1" applyBorder="1"/>
    <xf numFmtId="0" fontId="52" fillId="0" borderId="0" xfId="984" applyFont="1" applyAlignment="1" applyProtection="1">
      <alignment horizontal="left" indent="2"/>
      <protection locked="0"/>
    </xf>
    <xf numFmtId="172" fontId="1" fillId="0" borderId="0" xfId="4" applyNumberFormat="1" applyFont="1" applyFill="1" applyBorder="1"/>
    <xf numFmtId="215" fontId="52" fillId="0" borderId="0" xfId="983" applyNumberFormat="1" applyFont="1" applyAlignment="1" applyProtection="1">
      <alignment horizontal="left" indent="1"/>
      <protection locked="0"/>
    </xf>
    <xf numFmtId="215" fontId="52" fillId="0" borderId="0" xfId="984" applyNumberFormat="1" applyFont="1" applyAlignment="1" applyProtection="1">
      <alignment horizontal="left" indent="2"/>
      <protection locked="0"/>
    </xf>
    <xf numFmtId="2" fontId="45" fillId="0" borderId="0" xfId="982" applyNumberFormat="1"/>
    <xf numFmtId="0" fontId="53" fillId="0" borderId="30" xfId="983" applyFont="1" applyBorder="1" applyAlignment="1" applyProtection="1">
      <alignment horizontal="left"/>
      <protection locked="0"/>
    </xf>
    <xf numFmtId="172" fontId="44" fillId="0" borderId="30" xfId="4" applyNumberFormat="1" applyFont="1" applyFill="1" applyBorder="1"/>
    <xf numFmtId="0" fontId="52" fillId="0" borderId="0" xfId="491" applyFont="1" applyAlignment="1" applyProtection="1">
      <alignment horizontal="left" indent="1"/>
      <protection locked="0"/>
    </xf>
    <xf numFmtId="170" fontId="54" fillId="0" borderId="0" xfId="983" applyNumberFormat="1" applyFont="1" applyAlignment="1" applyProtection="1">
      <alignment horizontal="left" indent="1"/>
      <protection locked="0"/>
    </xf>
    <xf numFmtId="170" fontId="42" fillId="0" borderId="0" xfId="5" applyNumberFormat="1" applyFont="1" applyFill="1" applyBorder="1"/>
    <xf numFmtId="0" fontId="1" fillId="0" borderId="0" xfId="491"/>
    <xf numFmtId="0" fontId="52" fillId="0" borderId="0" xfId="984" applyFont="1" applyAlignment="1" applyProtection="1">
      <alignment horizontal="left"/>
      <protection locked="0"/>
    </xf>
    <xf numFmtId="0" fontId="52" fillId="0" borderId="0" xfId="984" applyFont="1" applyAlignment="1" applyProtection="1">
      <alignment horizontal="left" indent="1"/>
      <protection locked="0"/>
    </xf>
    <xf numFmtId="172" fontId="52" fillId="0" borderId="0" xfId="4" quotePrefix="1" applyNumberFormat="1" applyFont="1" applyFill="1" applyBorder="1"/>
    <xf numFmtId="172" fontId="1" fillId="0" borderId="0" xfId="4" quotePrefix="1" applyNumberFormat="1" applyFont="1" applyFill="1" applyBorder="1" applyAlignment="1">
      <alignment horizontal="right"/>
    </xf>
    <xf numFmtId="172" fontId="1" fillId="0" borderId="0" xfId="491" applyNumberFormat="1"/>
    <xf numFmtId="172" fontId="1" fillId="7" borderId="0" xfId="491" applyNumberFormat="1" applyFill="1"/>
    <xf numFmtId="172" fontId="1" fillId="0" borderId="0" xfId="7" applyNumberFormat="1" applyFont="1" applyFill="1" applyBorder="1"/>
    <xf numFmtId="0" fontId="53" fillId="0" borderId="30" xfId="984" applyFont="1" applyBorder="1" applyAlignment="1" applyProtection="1">
      <alignment horizontal="left"/>
      <protection locked="0"/>
    </xf>
    <xf numFmtId="170" fontId="54" fillId="0" borderId="0" xfId="984" applyNumberFormat="1" applyFont="1" applyAlignment="1" applyProtection="1">
      <alignment horizontal="left" indent="1"/>
      <protection locked="0"/>
    </xf>
    <xf numFmtId="170" fontId="42" fillId="0" borderId="9" xfId="4" applyNumberFormat="1" applyFont="1" applyFill="1" applyBorder="1"/>
    <xf numFmtId="0" fontId="51" fillId="21" borderId="30" xfId="6" applyFont="1" applyFill="1" applyBorder="1" applyAlignment="1">
      <alignment horizontal="left"/>
    </xf>
    <xf numFmtId="0" fontId="55" fillId="21" borderId="29" xfId="6" applyFont="1" applyFill="1" applyBorder="1" applyAlignment="1">
      <alignment horizontal="left"/>
    </xf>
    <xf numFmtId="172" fontId="1" fillId="0" borderId="25" xfId="4" applyNumberFormat="1" applyFont="1" applyFill="1" applyBorder="1"/>
    <xf numFmtId="170" fontId="54" fillId="0" borderId="9" xfId="984" applyNumberFormat="1" applyFont="1" applyBorder="1" applyAlignment="1" applyProtection="1">
      <alignment horizontal="left" indent="1"/>
      <protection locked="0"/>
    </xf>
    <xf numFmtId="0" fontId="52" fillId="0" borderId="0" xfId="6" applyFont="1"/>
    <xf numFmtId="0" fontId="60" fillId="0" borderId="0" xfId="987"/>
    <xf numFmtId="172" fontId="60" fillId="0" borderId="0" xfId="943" applyNumberFormat="1" applyFont="1"/>
    <xf numFmtId="172" fontId="60" fillId="0" borderId="25" xfId="943" applyNumberFormat="1" applyFont="1" applyBorder="1"/>
    <xf numFmtId="172" fontId="60" fillId="0" borderId="28" xfId="943" applyNumberFormat="1" applyFont="1" applyBorder="1"/>
    <xf numFmtId="172" fontId="60" fillId="0" borderId="0" xfId="943" applyNumberFormat="1" applyFont="1" applyBorder="1"/>
    <xf numFmtId="213" fontId="60" fillId="0" borderId="0" xfId="943" applyNumberFormat="1" applyFont="1"/>
    <xf numFmtId="213" fontId="60" fillId="0" borderId="0" xfId="987" applyNumberFormat="1"/>
    <xf numFmtId="0" fontId="9" fillId="0" borderId="0" xfId="987" applyFont="1"/>
    <xf numFmtId="172" fontId="60" fillId="0" borderId="0" xfId="987" applyNumberFormat="1"/>
    <xf numFmtId="172" fontId="60" fillId="0" borderId="25" xfId="987" applyNumberFormat="1" applyBorder="1"/>
    <xf numFmtId="0" fontId="60" fillId="0" borderId="25" xfId="987" applyBorder="1"/>
    <xf numFmtId="0" fontId="60" fillId="0" borderId="0" xfId="987" applyAlignment="1">
      <alignment horizontal="center"/>
    </xf>
    <xf numFmtId="212" fontId="60" fillId="0" borderId="25" xfId="987" applyNumberFormat="1" applyBorder="1"/>
    <xf numFmtId="0" fontId="9" fillId="0" borderId="25" xfId="987" applyFont="1" applyBorder="1"/>
    <xf numFmtId="0" fontId="9" fillId="0" borderId="25" xfId="987" applyFont="1" applyBorder="1" applyAlignment="1">
      <alignment horizontal="center"/>
    </xf>
    <xf numFmtId="14" fontId="60" fillId="0" borderId="0" xfId="987" applyNumberFormat="1"/>
    <xf numFmtId="22" fontId="60" fillId="0" borderId="0" xfId="987" applyNumberFormat="1"/>
    <xf numFmtId="0" fontId="11" fillId="7" borderId="25" xfId="987" applyFont="1" applyFill="1" applyBorder="1" applyAlignment="1">
      <alignment horizontal="center"/>
    </xf>
    <xf numFmtId="172" fontId="9" fillId="0" borderId="0" xfId="943" applyNumberFormat="1" applyFont="1" applyFill="1"/>
    <xf numFmtId="172" fontId="9" fillId="0" borderId="25" xfId="943" applyNumberFormat="1" applyFont="1" applyFill="1" applyBorder="1"/>
    <xf numFmtId="172" fontId="60" fillId="0" borderId="0" xfId="943" applyNumberFormat="1" applyFont="1" applyFill="1"/>
    <xf numFmtId="0" fontId="9" fillId="0" borderId="0" xfId="987" applyFont="1" applyAlignment="1">
      <alignment horizontal="center"/>
    </xf>
    <xf numFmtId="172" fontId="60" fillId="0" borderId="25" xfId="943" applyNumberFormat="1" applyFont="1" applyFill="1" applyBorder="1"/>
    <xf numFmtId="172" fontId="60" fillId="0" borderId="28" xfId="943" applyNumberFormat="1" applyFont="1" applyFill="1" applyBorder="1"/>
    <xf numFmtId="0" fontId="49" fillId="0" borderId="0" xfId="987" applyFont="1"/>
    <xf numFmtId="0" fontId="50" fillId="0" borderId="0" xfId="987" applyFont="1"/>
    <xf numFmtId="167" fontId="49" fillId="0" borderId="0" xfId="943" applyFont="1" applyAlignment="1">
      <alignment horizontal="right"/>
    </xf>
    <xf numFmtId="10" fontId="60" fillId="0" borderId="0" xfId="5" applyNumberFormat="1" applyFont="1"/>
    <xf numFmtId="0" fontId="46" fillId="0" borderId="0" xfId="987" applyFont="1"/>
    <xf numFmtId="0" fontId="47" fillId="0" borderId="0" xfId="987" applyFont="1" applyAlignment="1">
      <alignment horizontal="center"/>
    </xf>
    <xf numFmtId="212" fontId="48" fillId="0" borderId="25" xfId="987" applyNumberFormat="1" applyFont="1" applyBorder="1" applyAlignment="1">
      <alignment horizontal="center"/>
    </xf>
    <xf numFmtId="172" fontId="60" fillId="0" borderId="0" xfId="943" applyNumberFormat="1" applyFont="1" applyFill="1" applyBorder="1"/>
    <xf numFmtId="37" fontId="9" fillId="0" borderId="0" xfId="987" applyNumberFormat="1" applyFont="1"/>
    <xf numFmtId="0" fontId="51" fillId="21" borderId="29" xfId="6" applyFont="1" applyFill="1" applyBorder="1" applyAlignment="1">
      <alignment horizontal="left"/>
    </xf>
    <xf numFmtId="172" fontId="1" fillId="0" borderId="0" xfId="4" applyNumberFormat="1" applyFont="1" applyBorder="1"/>
    <xf numFmtId="172" fontId="1" fillId="0" borderId="0" xfId="4" quotePrefix="1" applyNumberFormat="1" applyFont="1" applyBorder="1"/>
    <xf numFmtId="172" fontId="60" fillId="19" borderId="0" xfId="943" applyNumberFormat="1" applyFont="1" applyFill="1"/>
    <xf numFmtId="2" fontId="60" fillId="0" borderId="0" xfId="987" applyNumberFormat="1"/>
    <xf numFmtId="212" fontId="60" fillId="0" borderId="25" xfId="987" applyNumberFormat="1" applyBorder="1" applyAlignment="1">
      <alignment horizontal="center"/>
    </xf>
    <xf numFmtId="172" fontId="9" fillId="0" borderId="0" xfId="943" quotePrefix="1" applyNumberFormat="1" applyFont="1" applyFill="1" applyBorder="1"/>
    <xf numFmtId="172" fontId="9" fillId="0" borderId="0" xfId="987" applyNumberFormat="1" applyFont="1"/>
    <xf numFmtId="0" fontId="11" fillId="0" borderId="0" xfId="987" applyFont="1" applyAlignment="1">
      <alignment horizontal="center"/>
    </xf>
    <xf numFmtId="212" fontId="11" fillId="0" borderId="25" xfId="987" applyNumberFormat="1" applyFont="1" applyBorder="1" applyAlignment="1">
      <alignment horizontal="center"/>
    </xf>
    <xf numFmtId="37" fontId="60" fillId="0" borderId="0" xfId="987" applyNumberFormat="1"/>
    <xf numFmtId="214" fontId="60" fillId="0" borderId="0" xfId="987" applyNumberFormat="1"/>
    <xf numFmtId="0" fontId="11" fillId="0" borderId="25" xfId="987" applyFont="1" applyBorder="1"/>
    <xf numFmtId="172" fontId="60" fillId="19" borderId="0" xfId="987" applyNumberFormat="1" applyFill="1"/>
    <xf numFmtId="172" fontId="9" fillId="19" borderId="0" xfId="943" applyNumberFormat="1" applyFont="1" applyFill="1"/>
    <xf numFmtId="167" fontId="0" fillId="0" borderId="0" xfId="1" applyFont="1"/>
    <xf numFmtId="0" fontId="38" fillId="0" borderId="0" xfId="0" applyFont="1"/>
    <xf numFmtId="0" fontId="61" fillId="0" borderId="0" xfId="0" applyFont="1" applyAlignment="1">
      <alignment wrapText="1"/>
    </xf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1" fontId="0" fillId="0" borderId="0" xfId="0" applyNumberFormat="1"/>
    <xf numFmtId="0" fontId="49" fillId="0" borderId="0" xfId="0" applyFont="1"/>
    <xf numFmtId="172" fontId="38" fillId="0" borderId="0" xfId="0" applyNumberFormat="1" applyFont="1" applyAlignment="1">
      <alignment wrapText="1"/>
    </xf>
    <xf numFmtId="172" fontId="49" fillId="0" borderId="0" xfId="0" applyNumberFormat="1" applyFont="1" applyAlignment="1">
      <alignment horizontal="right" wrapText="1"/>
    </xf>
    <xf numFmtId="3" fontId="49" fillId="0" borderId="0" xfId="0" applyNumberFormat="1" applyFont="1" applyAlignment="1">
      <alignment horizontal="right" vertical="center" wrapText="1"/>
    </xf>
    <xf numFmtId="172" fontId="38" fillId="0" borderId="14" xfId="0" applyNumberFormat="1" applyFont="1" applyBorder="1" applyAlignment="1">
      <alignment wrapText="1"/>
    </xf>
    <xf numFmtId="172" fontId="0" fillId="0" borderId="14" xfId="1" applyNumberFormat="1" applyFont="1" applyBorder="1"/>
    <xf numFmtId="172" fontId="0" fillId="0" borderId="0" xfId="1" applyNumberFormat="1" applyFont="1"/>
    <xf numFmtId="0" fontId="61" fillId="0" borderId="0" xfId="0" applyFont="1"/>
    <xf numFmtId="0" fontId="49" fillId="0" borderId="0" xfId="0" applyFont="1" applyAlignment="1">
      <alignment horizontal="right" vertical="center" wrapText="1"/>
    </xf>
    <xf numFmtId="172" fontId="49" fillId="0" borderId="0" xfId="0" applyNumberFormat="1" applyFont="1" applyAlignment="1">
      <alignment wrapText="1"/>
    </xf>
    <xf numFmtId="3" fontId="49" fillId="0" borderId="14" xfId="0" applyNumberFormat="1" applyFont="1" applyBorder="1" applyAlignment="1">
      <alignment horizontal="right" vertical="center" wrapText="1"/>
    </xf>
    <xf numFmtId="172" fontId="49" fillId="0" borderId="14" xfId="0" applyNumberFormat="1" applyFont="1" applyBorder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3" fontId="62" fillId="0" borderId="0" xfId="0" applyNumberFormat="1" applyFont="1" applyAlignment="1">
      <alignment horizontal="right" vertical="center" wrapText="1"/>
    </xf>
    <xf numFmtId="172" fontId="0" fillId="0" borderId="31" xfId="1" applyNumberFormat="1" applyFont="1" applyBorder="1"/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38" fillId="0" borderId="14" xfId="0" applyFont="1" applyBorder="1" applyAlignment="1">
      <alignment wrapText="1"/>
    </xf>
    <xf numFmtId="3" fontId="49" fillId="0" borderId="31" xfId="0" applyNumberFormat="1" applyFont="1" applyBorder="1" applyAlignment="1">
      <alignment horizontal="right" wrapText="1"/>
    </xf>
    <xf numFmtId="14" fontId="0" fillId="0" borderId="0" xfId="0" applyNumberFormat="1"/>
    <xf numFmtId="216" fontId="49" fillId="7" borderId="31" xfId="0" applyNumberFormat="1" applyFont="1" applyFill="1" applyBorder="1" applyAlignment="1">
      <alignment horizontal="right" wrapText="1"/>
    </xf>
    <xf numFmtId="0" fontId="49" fillId="0" borderId="31" xfId="0" applyFont="1" applyBorder="1"/>
    <xf numFmtId="0" fontId="49" fillId="7" borderId="0" xfId="0" applyFont="1" applyFill="1" applyAlignment="1">
      <alignment horizontal="right" wrapText="1"/>
    </xf>
    <xf numFmtId="167" fontId="0" fillId="0" borderId="0" xfId="0" applyNumberFormat="1"/>
    <xf numFmtId="0" fontId="0" fillId="7" borderId="0" xfId="0" applyFill="1"/>
    <xf numFmtId="217" fontId="0" fillId="0" borderId="0" xfId="0" applyNumberFormat="1"/>
    <xf numFmtId="0" fontId="65" fillId="0" borderId="0" xfId="0" applyFont="1"/>
    <xf numFmtId="0" fontId="65" fillId="0" borderId="0" xfId="0" applyFont="1" applyAlignment="1">
      <alignment wrapText="1"/>
    </xf>
    <xf numFmtId="172" fontId="0" fillId="0" borderId="0" xfId="0" applyNumberFormat="1"/>
    <xf numFmtId="172" fontId="0" fillId="0" borderId="14" xfId="0" applyNumberFormat="1" applyBorder="1"/>
    <xf numFmtId="0" fontId="58" fillId="0" borderId="0" xfId="0" applyFont="1" applyAlignment="1">
      <alignment wrapText="1"/>
    </xf>
    <xf numFmtId="0" fontId="58" fillId="0" borderId="0" xfId="0" applyFont="1" applyAlignment="1">
      <alignment horizontal="right" wrapText="1"/>
    </xf>
    <xf numFmtId="0" fontId="58" fillId="0" borderId="0" xfId="0" applyFont="1" applyAlignment="1">
      <alignment horizontal="right"/>
    </xf>
    <xf numFmtId="0" fontId="58" fillId="0" borderId="14" xfId="0" applyFont="1" applyBorder="1" applyAlignment="1">
      <alignment horizontal="right" wrapText="1"/>
    </xf>
    <xf numFmtId="0" fontId="0" fillId="22" borderId="0" xfId="0" applyFill="1"/>
    <xf numFmtId="169" fontId="0" fillId="22" borderId="0" xfId="1" applyNumberFormat="1" applyFont="1" applyFill="1"/>
    <xf numFmtId="0" fontId="58" fillId="0" borderId="0" xfId="0" applyFont="1"/>
    <xf numFmtId="0" fontId="59" fillId="0" borderId="0" xfId="0" applyFont="1"/>
    <xf numFmtId="172" fontId="65" fillId="0" borderId="0" xfId="0" applyNumberFormat="1" applyFont="1"/>
    <xf numFmtId="172" fontId="65" fillId="0" borderId="0" xfId="1" applyNumberFormat="1" applyFont="1" applyAlignment="1">
      <alignment wrapText="1"/>
    </xf>
    <xf numFmtId="3" fontId="66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67" fillId="0" borderId="0" xfId="0" applyFont="1"/>
    <xf numFmtId="172" fontId="65" fillId="0" borderId="0" xfId="1" applyNumberFormat="1" applyFont="1"/>
    <xf numFmtId="172" fontId="65" fillId="0" borderId="0" xfId="1" applyNumberFormat="1" applyFont="1" applyBorder="1"/>
    <xf numFmtId="3" fontId="66" fillId="0" borderId="0" xfId="0" applyNumberFormat="1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169" fontId="0" fillId="7" borderId="0" xfId="1" applyNumberFormat="1" applyFont="1" applyFill="1"/>
    <xf numFmtId="172" fontId="65" fillId="22" borderId="25" xfId="0" applyNumberFormat="1" applyFont="1" applyFill="1" applyBorder="1"/>
    <xf numFmtId="172" fontId="65" fillId="0" borderId="25" xfId="0" applyNumberFormat="1" applyFont="1" applyBorder="1"/>
    <xf numFmtId="0" fontId="66" fillId="0" borderId="25" xfId="0" applyFont="1" applyBorder="1" applyAlignment="1">
      <alignment horizontal="right" vertical="center" wrapText="1"/>
    </xf>
    <xf numFmtId="172" fontId="65" fillId="0" borderId="14" xfId="0" applyNumberFormat="1" applyFont="1" applyBorder="1"/>
    <xf numFmtId="172" fontId="65" fillId="0" borderId="14" xfId="0" quotePrefix="1" applyNumberFormat="1" applyFont="1" applyBorder="1"/>
    <xf numFmtId="172" fontId="65" fillId="0" borderId="0" xfId="0" quotePrefix="1" applyNumberFormat="1" applyFont="1"/>
    <xf numFmtId="172" fontId="59" fillId="0" borderId="0" xfId="1" applyNumberFormat="1" applyFont="1" applyAlignment="1">
      <alignment horizontal="right" wrapText="1"/>
    </xf>
    <xf numFmtId="3" fontId="59" fillId="0" borderId="14" xfId="0" applyNumberFormat="1" applyFont="1" applyBorder="1" applyAlignment="1">
      <alignment horizontal="right" wrapText="1"/>
    </xf>
    <xf numFmtId="0" fontId="65" fillId="0" borderId="14" xfId="0" applyFont="1" applyBorder="1"/>
    <xf numFmtId="0" fontId="44" fillId="0" borderId="0" xfId="0" applyFont="1"/>
    <xf numFmtId="3" fontId="66" fillId="0" borderId="0" xfId="0" applyNumberFormat="1" applyFont="1" applyAlignment="1">
      <alignment horizontal="right"/>
    </xf>
    <xf numFmtId="172" fontId="66" fillId="0" borderId="0" xfId="1" applyNumberFormat="1" applyFont="1" applyAlignment="1">
      <alignment horizontal="right"/>
    </xf>
    <xf numFmtId="172" fontId="66" fillId="0" borderId="14" xfId="1" applyNumberFormat="1" applyFont="1" applyBorder="1" applyAlignment="1">
      <alignment horizontal="right"/>
    </xf>
    <xf numFmtId="172" fontId="65" fillId="0" borderId="31" xfId="0" applyNumberFormat="1" applyFont="1" applyBorder="1"/>
    <xf numFmtId="210" fontId="3" fillId="0" borderId="0" xfId="0" applyNumberFormat="1" applyFont="1"/>
    <xf numFmtId="208" fontId="68" fillId="3" borderId="13" xfId="2" applyNumberFormat="1" applyFont="1" applyFill="1" applyBorder="1" applyAlignment="1">
      <alignment horizontal="right"/>
    </xf>
    <xf numFmtId="207" fontId="3" fillId="0" borderId="13" xfId="0" applyNumberFormat="1" applyFont="1" applyBorder="1" applyAlignment="1">
      <alignment horizontal="right"/>
    </xf>
    <xf numFmtId="210" fontId="3" fillId="7" borderId="32" xfId="0" applyNumberFormat="1" applyFont="1" applyFill="1" applyBorder="1" applyAlignment="1">
      <alignment horizontal="center"/>
    </xf>
    <xf numFmtId="210" fontId="3" fillId="3" borderId="24" xfId="0" applyNumberFormat="1" applyFont="1" applyFill="1" applyBorder="1" applyAlignment="1">
      <alignment horizontal="center"/>
    </xf>
    <xf numFmtId="210" fontId="3" fillId="7" borderId="33" xfId="0" applyNumberFormat="1" applyFont="1" applyFill="1" applyBorder="1" applyAlignment="1">
      <alignment horizontal="center"/>
    </xf>
    <xf numFmtId="210" fontId="3" fillId="3" borderId="34" xfId="0" applyNumberFormat="1" applyFont="1" applyFill="1" applyBorder="1" applyAlignment="1">
      <alignment horizontal="center"/>
    </xf>
    <xf numFmtId="0" fontId="69" fillId="2" borderId="35" xfId="0" applyFont="1" applyFill="1" applyBorder="1" applyAlignment="1">
      <alignment horizontal="center"/>
    </xf>
    <xf numFmtId="0" fontId="69" fillId="2" borderId="36" xfId="0" applyFont="1" applyFill="1" applyBorder="1" applyAlignment="1">
      <alignment horizontal="center"/>
    </xf>
    <xf numFmtId="0" fontId="61" fillId="0" borderId="0" xfId="0" applyFont="1" applyAlignment="1">
      <alignment horizontal="right"/>
    </xf>
    <xf numFmtId="0" fontId="61" fillId="0" borderId="14" xfId="0" applyFont="1" applyBorder="1" applyAlignment="1">
      <alignment horizontal="right"/>
    </xf>
    <xf numFmtId="3" fontId="49" fillId="0" borderId="0" xfId="0" applyNumberFormat="1" applyFont="1" applyAlignment="1">
      <alignment horizontal="right"/>
    </xf>
    <xf numFmtId="0" fontId="49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49" fillId="0" borderId="14" xfId="0" applyFont="1" applyBorder="1" applyAlignment="1">
      <alignment horizontal="right"/>
    </xf>
    <xf numFmtId="0" fontId="59" fillId="0" borderId="14" xfId="0" applyFont="1" applyBorder="1" applyAlignment="1">
      <alignment horizontal="right"/>
    </xf>
    <xf numFmtId="3" fontId="49" fillId="0" borderId="14" xfId="0" applyNumberFormat="1" applyFont="1" applyBorder="1" applyAlignment="1">
      <alignment horizontal="right"/>
    </xf>
    <xf numFmtId="3" fontId="59" fillId="0" borderId="14" xfId="0" applyNumberFormat="1" applyFont="1" applyBorder="1" applyAlignment="1">
      <alignment horizontal="right"/>
    </xf>
    <xf numFmtId="0" fontId="38" fillId="0" borderId="14" xfId="0" applyFont="1" applyBorder="1"/>
    <xf numFmtId="3" fontId="49" fillId="0" borderId="31" xfId="0" applyNumberFormat="1" applyFont="1" applyBorder="1" applyAlignment="1">
      <alignment horizontal="right"/>
    </xf>
    <xf numFmtId="0" fontId="64" fillId="0" borderId="0" xfId="0" applyFont="1"/>
    <xf numFmtId="0" fontId="63" fillId="0" borderId="0" xfId="0" applyFont="1"/>
    <xf numFmtId="169" fontId="49" fillId="0" borderId="0" xfId="1" applyNumberFormat="1" applyFont="1" applyAlignment="1">
      <alignment horizontal="right"/>
    </xf>
    <xf numFmtId="3" fontId="38" fillId="0" borderId="0" xfId="0" applyNumberFormat="1" applyFont="1"/>
    <xf numFmtId="3" fontId="49" fillId="0" borderId="0" xfId="0" applyNumberFormat="1" applyFont="1" applyAlignment="1">
      <alignment wrapText="1"/>
    </xf>
    <xf numFmtId="3" fontId="38" fillId="0" borderId="0" xfId="0" applyNumberFormat="1" applyFont="1" applyAlignment="1">
      <alignment wrapText="1"/>
    </xf>
    <xf numFmtId="3" fontId="0" fillId="0" borderId="0" xfId="0" applyNumberFormat="1"/>
    <xf numFmtId="3" fontId="47" fillId="23" borderId="0" xfId="0" applyNumberFormat="1" applyFont="1" applyFill="1" applyAlignment="1">
      <alignment horizontal="right"/>
    </xf>
    <xf numFmtId="3" fontId="49" fillId="23" borderId="0" xfId="0" applyNumberFormat="1" applyFont="1" applyFill="1" applyAlignment="1">
      <alignment horizontal="right"/>
    </xf>
    <xf numFmtId="0" fontId="49" fillId="23" borderId="14" xfId="0" applyFont="1" applyFill="1" applyBorder="1" applyAlignment="1">
      <alignment horizontal="right"/>
    </xf>
    <xf numFmtId="169" fontId="49" fillId="23" borderId="0" xfId="1" applyNumberFormat="1" applyFont="1" applyFill="1" applyAlignment="1">
      <alignment horizontal="right"/>
    </xf>
    <xf numFmtId="3" fontId="49" fillId="23" borderId="14" xfId="0" applyNumberFormat="1" applyFont="1" applyFill="1" applyBorder="1" applyAlignment="1">
      <alignment horizontal="right"/>
    </xf>
    <xf numFmtId="0" fontId="49" fillId="23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 indent="1"/>
    </xf>
    <xf numFmtId="0" fontId="2" fillId="2" borderId="16" xfId="0" applyFont="1" applyFill="1" applyBorder="1" applyAlignment="1">
      <alignment horizontal="right" indent="1"/>
    </xf>
    <xf numFmtId="169" fontId="3" fillId="0" borderId="0" xfId="1" applyNumberFormat="1" applyFont="1" applyFill="1" applyBorder="1" applyAlignment="1">
      <alignment horizontal="right"/>
    </xf>
    <xf numFmtId="3" fontId="69" fillId="0" borderId="0" xfId="0" applyNumberFormat="1" applyFont="1" applyAlignment="1">
      <alignment horizontal="right"/>
    </xf>
    <xf numFmtId="3" fontId="70" fillId="3" borderId="0" xfId="0" applyNumberFormat="1" applyFont="1" applyFill="1" applyAlignment="1">
      <alignment horizontal="right"/>
    </xf>
    <xf numFmtId="0" fontId="70" fillId="3" borderId="0" xfId="0" applyFont="1" applyFill="1" applyAlignment="1">
      <alignment horizontal="right"/>
    </xf>
    <xf numFmtId="211" fontId="8" fillId="0" borderId="5" xfId="1" applyNumberFormat="1" applyFont="1" applyFill="1" applyBorder="1" applyAlignment="1">
      <alignment horizontal="right"/>
    </xf>
    <xf numFmtId="3" fontId="71" fillId="0" borderId="0" xfId="0" applyNumberFormat="1" applyFont="1" applyAlignment="1">
      <alignment vertical="center" wrapText="1"/>
    </xf>
    <xf numFmtId="0" fontId="3" fillId="3" borderId="15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9" fontId="2" fillId="2" borderId="5" xfId="1075" applyNumberFormat="1" applyFont="1" applyFill="1" applyBorder="1" applyAlignment="1">
      <alignment horizontal="left"/>
    </xf>
    <xf numFmtId="0" fontId="72" fillId="0" borderId="0" xfId="0" applyFont="1"/>
    <xf numFmtId="0" fontId="2" fillId="2" borderId="2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3" fontId="3" fillId="0" borderId="0" xfId="0" applyNumberFormat="1" applyFont="1" applyAlignment="1">
      <alignment horizontal="right"/>
    </xf>
    <xf numFmtId="170" fontId="39" fillId="0" borderId="0" xfId="2" applyNumberFormat="1" applyFont="1" applyFill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210" fontId="0" fillId="0" borderId="0" xfId="0" applyNumberFormat="1"/>
    <xf numFmtId="3" fontId="4" fillId="0" borderId="5" xfId="0" applyNumberFormat="1" applyFont="1" applyBorder="1" applyAlignment="1">
      <alignment horizontal="right"/>
    </xf>
    <xf numFmtId="211" fontId="3" fillId="3" borderId="0" xfId="0" applyNumberFormat="1" applyFont="1" applyFill="1"/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3" fillId="0" borderId="0" xfId="0" applyFont="1"/>
    <xf numFmtId="0" fontId="74" fillId="0" borderId="0" xfId="0" applyFont="1" applyAlignment="1">
      <alignment horizontal="right"/>
    </xf>
    <xf numFmtId="3" fontId="75" fillId="0" borderId="0" xfId="0" applyNumberFormat="1" applyFont="1"/>
    <xf numFmtId="3" fontId="73" fillId="0" borderId="0" xfId="0" applyNumberFormat="1" applyFont="1"/>
    <xf numFmtId="169" fontId="75" fillId="0" borderId="0" xfId="0" applyNumberFormat="1" applyFont="1" applyAlignment="1">
      <alignment horizontal="right"/>
    </xf>
    <xf numFmtId="169" fontId="75" fillId="0" borderId="0" xfId="0" applyNumberFormat="1" applyFont="1"/>
    <xf numFmtId="169" fontId="74" fillId="0" borderId="0" xfId="0" applyNumberFormat="1" applyFont="1"/>
    <xf numFmtId="17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172" fontId="76" fillId="0" borderId="15" xfId="0" applyNumberFormat="1" applyFont="1" applyBorder="1" applyAlignment="1">
      <alignment horizontal="right"/>
    </xf>
    <xf numFmtId="172" fontId="76" fillId="3" borderId="15" xfId="1075" applyNumberFormat="1" applyFont="1" applyFill="1" applyBorder="1" applyAlignment="1">
      <alignment horizontal="right"/>
    </xf>
    <xf numFmtId="3" fontId="76" fillId="0" borderId="5" xfId="0" applyNumberFormat="1" applyFont="1" applyBorder="1" applyAlignment="1">
      <alignment horizontal="right"/>
    </xf>
    <xf numFmtId="172" fontId="76" fillId="0" borderId="5" xfId="0" applyNumberFormat="1" applyFont="1" applyBorder="1" applyAlignment="1">
      <alignment horizontal="right"/>
    </xf>
    <xf numFmtId="172" fontId="3" fillId="0" borderId="5" xfId="0" applyNumberFormat="1" applyFont="1" applyBorder="1" applyAlignment="1">
      <alignment horizontal="right"/>
    </xf>
    <xf numFmtId="172" fontId="3" fillId="3" borderId="5" xfId="1075" applyNumberFormat="1" applyFont="1" applyFill="1" applyBorder="1" applyAlignment="1">
      <alignment horizontal="right"/>
    </xf>
    <xf numFmtId="172" fontId="3" fillId="3" borderId="5" xfId="0" applyNumberFormat="1" applyFont="1" applyFill="1" applyBorder="1" applyAlignment="1">
      <alignment horizontal="right"/>
    </xf>
    <xf numFmtId="169" fontId="3" fillId="3" borderId="5" xfId="1075" applyNumberFormat="1" applyFont="1" applyFill="1" applyBorder="1" applyAlignment="1">
      <alignment horizontal="right"/>
    </xf>
    <xf numFmtId="172" fontId="4" fillId="4" borderId="5" xfId="0" applyNumberFormat="1" applyFont="1" applyFill="1" applyBorder="1" applyAlignment="1">
      <alignment horizontal="right"/>
    </xf>
    <xf numFmtId="172" fontId="4" fillId="4" borderId="5" xfId="1075" applyNumberFormat="1" applyFont="1" applyFill="1" applyBorder="1" applyAlignment="1">
      <alignment horizontal="right"/>
    </xf>
    <xf numFmtId="172" fontId="5" fillId="3" borderId="5" xfId="1075" applyNumberFormat="1" applyFont="1" applyFill="1" applyBorder="1" applyAlignment="1">
      <alignment horizontal="right"/>
    </xf>
    <xf numFmtId="169" fontId="5" fillId="3" borderId="5" xfId="1075" applyNumberFormat="1" applyFont="1" applyFill="1" applyBorder="1" applyAlignment="1">
      <alignment horizontal="right"/>
    </xf>
    <xf numFmtId="9" fontId="6" fillId="3" borderId="5" xfId="2" applyFont="1" applyFill="1" applyBorder="1" applyAlignment="1">
      <alignment horizontal="right"/>
    </xf>
    <xf numFmtId="172" fontId="3" fillId="6" borderId="5" xfId="1075" applyNumberFormat="1" applyFont="1" applyFill="1" applyBorder="1" applyAlignment="1">
      <alignment horizontal="right"/>
    </xf>
    <xf numFmtId="209" fontId="3" fillId="3" borderId="5" xfId="1075" applyNumberFormat="1" applyFont="1" applyFill="1" applyBorder="1" applyAlignment="1">
      <alignment horizontal="right"/>
    </xf>
    <xf numFmtId="172" fontId="0" fillId="0" borderId="0" xfId="0" applyNumberFormat="1" applyAlignment="1">
      <alignment horizontal="right"/>
    </xf>
    <xf numFmtId="172" fontId="3" fillId="0" borderId="3" xfId="1075" applyNumberFormat="1" applyFont="1" applyFill="1" applyBorder="1" applyAlignment="1">
      <alignment horizontal="right"/>
    </xf>
    <xf numFmtId="172" fontId="8" fillId="0" borderId="3" xfId="1075" applyNumberFormat="1" applyFont="1" applyFill="1" applyBorder="1" applyAlignment="1">
      <alignment horizontal="right"/>
    </xf>
    <xf numFmtId="172" fontId="77" fillId="0" borderId="3" xfId="1075" applyNumberFormat="1" applyFont="1" applyFill="1" applyBorder="1" applyAlignment="1">
      <alignment horizontal="right"/>
    </xf>
    <xf numFmtId="172" fontId="3" fillId="0" borderId="5" xfId="1075" applyNumberFormat="1" applyFont="1" applyFill="1" applyBorder="1" applyAlignment="1">
      <alignment horizontal="right"/>
    </xf>
    <xf numFmtId="172" fontId="3" fillId="0" borderId="0" xfId="1075" applyNumberFormat="1" applyFont="1" applyFill="1" applyBorder="1" applyAlignment="1">
      <alignment horizontal="right"/>
    </xf>
    <xf numFmtId="172" fontId="3" fillId="0" borderId="37" xfId="1075" applyNumberFormat="1" applyFont="1" applyFill="1" applyBorder="1" applyAlignment="1">
      <alignment horizontal="right"/>
    </xf>
    <xf numFmtId="172" fontId="7" fillId="2" borderId="26" xfId="1075" applyNumberFormat="1" applyFont="1" applyFill="1" applyBorder="1" applyAlignment="1">
      <alignment horizontal="right"/>
    </xf>
    <xf numFmtId="3" fontId="76" fillId="0" borderId="3" xfId="0" applyNumberFormat="1" applyFont="1" applyBorder="1" applyAlignment="1">
      <alignment horizontal="right"/>
    </xf>
    <xf numFmtId="172" fontId="7" fillId="2" borderId="9" xfId="1075" applyNumberFormat="1" applyFont="1" applyFill="1" applyBorder="1" applyAlignment="1">
      <alignment horizontal="right"/>
    </xf>
    <xf numFmtId="167" fontId="0" fillId="0" borderId="0" xfId="1" applyFont="1" applyFill="1"/>
    <xf numFmtId="170" fontId="40" fillId="0" borderId="0" xfId="2" applyNumberFormat="1" applyFont="1" applyFill="1" applyBorder="1" applyAlignment="1">
      <alignment horizontal="right"/>
    </xf>
    <xf numFmtId="0" fontId="76" fillId="3" borderId="4" xfId="0" applyFont="1" applyFill="1" applyBorder="1" applyAlignment="1">
      <alignment horizontal="left"/>
    </xf>
    <xf numFmtId="0" fontId="76" fillId="3" borderId="5" xfId="0" applyFont="1" applyFill="1" applyBorder="1" applyAlignment="1">
      <alignment horizontal="left"/>
    </xf>
    <xf numFmtId="211" fontId="76" fillId="0" borderId="5" xfId="1" applyNumberFormat="1" applyFont="1" applyFill="1" applyBorder="1" applyAlignment="1">
      <alignment horizontal="right"/>
    </xf>
    <xf numFmtId="170" fontId="78" fillId="3" borderId="5" xfId="2" applyNumberFormat="1" applyFont="1" applyFill="1" applyBorder="1" applyAlignment="1">
      <alignment horizontal="right"/>
    </xf>
    <xf numFmtId="211" fontId="76" fillId="3" borderId="13" xfId="1" applyNumberFormat="1" applyFont="1" applyFill="1" applyBorder="1" applyAlignment="1">
      <alignment horizontal="right"/>
    </xf>
    <xf numFmtId="211" fontId="76" fillId="3" borderId="5" xfId="1" applyNumberFormat="1" applyFont="1" applyFill="1" applyBorder="1" applyAlignment="1">
      <alignment horizontal="right"/>
    </xf>
    <xf numFmtId="0" fontId="76" fillId="3" borderId="0" xfId="0" applyFont="1" applyFill="1"/>
    <xf numFmtId="211" fontId="76" fillId="3" borderId="0" xfId="0" applyNumberFormat="1" applyFont="1" applyFill="1"/>
    <xf numFmtId="3" fontId="8" fillId="0" borderId="5" xfId="0" applyNumberFormat="1" applyFont="1" applyBorder="1" applyAlignment="1">
      <alignment horizontal="right"/>
    </xf>
    <xf numFmtId="211" fontId="0" fillId="0" borderId="0" xfId="0" applyNumberFormat="1"/>
    <xf numFmtId="0" fontId="79" fillId="0" borderId="0" xfId="0" applyFont="1"/>
    <xf numFmtId="0" fontId="69" fillId="3" borderId="0" xfId="0" applyFont="1" applyFill="1"/>
    <xf numFmtId="0" fontId="2" fillId="3" borderId="0" xfId="0" applyFont="1" applyFill="1"/>
    <xf numFmtId="0" fontId="69" fillId="0" borderId="0" xfId="0" applyFont="1"/>
    <xf numFmtId="3" fontId="4" fillId="0" borderId="5" xfId="1" applyNumberFormat="1" applyFont="1" applyFill="1" applyBorder="1" applyAlignment="1">
      <alignment horizontal="right"/>
    </xf>
    <xf numFmtId="4" fontId="0" fillId="0" borderId="0" xfId="0" applyNumberFormat="1"/>
    <xf numFmtId="3" fontId="8" fillId="0" borderId="3" xfId="1" applyNumberFormat="1" applyFont="1" applyFill="1" applyBorder="1" applyAlignment="1">
      <alignment horizontal="right"/>
    </xf>
    <xf numFmtId="0" fontId="61" fillId="0" borderId="14" xfId="0" applyFont="1" applyBorder="1" applyAlignment="1">
      <alignment horizontal="right"/>
    </xf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0" fontId="38" fillId="0" borderId="0" xfId="0" applyFont="1"/>
    <xf numFmtId="0" fontId="38" fillId="0" borderId="0" xfId="0" applyFont="1" applyAlignment="1">
      <alignment wrapText="1"/>
    </xf>
    <xf numFmtId="0" fontId="61" fillId="0" borderId="0" xfId="0" applyFont="1"/>
    <xf numFmtId="0" fontId="61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58" fillId="0" borderId="14" xfId="0" applyFont="1" applyBorder="1" applyAlignment="1">
      <alignment horizontal="right" wrapText="1"/>
    </xf>
    <xf numFmtId="0" fontId="58" fillId="0" borderId="14" xfId="0" applyFont="1" applyBorder="1" applyAlignment="1">
      <alignment horizontal="right"/>
    </xf>
    <xf numFmtId="170" fontId="5" fillId="3" borderId="0" xfId="2" applyNumberFormat="1" applyFont="1" applyFill="1" applyBorder="1" applyAlignment="1">
      <alignment horizontal="right"/>
    </xf>
  </cellXfs>
  <cellStyles count="1096">
    <cellStyle name="=C:\WINNT\SYSTEM32\COMMAND.COM" xfId="8" xr:uid="{00000000-0005-0000-0000-000000000000}"/>
    <cellStyle name="=C:\WINNT\SYSTEM32\COMMAND.COM 2" xfId="9" xr:uid="{00000000-0005-0000-0000-000001000000}"/>
    <cellStyle name="0  + -" xfId="10" xr:uid="{00000000-0005-0000-0000-000002000000}"/>
    <cellStyle name="0+ -" xfId="11" xr:uid="{00000000-0005-0000-0000-000003000000}"/>
    <cellStyle name="0+   -" xfId="12" xr:uid="{00000000-0005-0000-0000-000004000000}"/>
    <cellStyle name="1o.nível" xfId="13" xr:uid="{00000000-0005-0000-0000-000005000000}"/>
    <cellStyle name="20% - Ênfase1 2" xfId="14" xr:uid="{00000000-0005-0000-0000-000006000000}"/>
    <cellStyle name="20% - Ênfase1 2 2" xfId="15" xr:uid="{00000000-0005-0000-0000-000007000000}"/>
    <cellStyle name="20% - Ênfase1 3" xfId="16" xr:uid="{00000000-0005-0000-0000-000008000000}"/>
    <cellStyle name="20% - Ênfase1 3 2" xfId="17" xr:uid="{00000000-0005-0000-0000-000009000000}"/>
    <cellStyle name="20% - Ênfase1 4" xfId="18" xr:uid="{00000000-0005-0000-0000-00000A000000}"/>
    <cellStyle name="20% - Ênfase1 4 2" xfId="19" xr:uid="{00000000-0005-0000-0000-00000B000000}"/>
    <cellStyle name="20% - Ênfase2 2" xfId="20" xr:uid="{00000000-0005-0000-0000-00000C000000}"/>
    <cellStyle name="20% - Ênfase2 2 2" xfId="21" xr:uid="{00000000-0005-0000-0000-00000D000000}"/>
    <cellStyle name="20% - Ênfase2 3" xfId="22" xr:uid="{00000000-0005-0000-0000-00000E000000}"/>
    <cellStyle name="20% - Ênfase2 3 2" xfId="23" xr:uid="{00000000-0005-0000-0000-00000F000000}"/>
    <cellStyle name="20% - Ênfase2 4" xfId="24" xr:uid="{00000000-0005-0000-0000-000010000000}"/>
    <cellStyle name="20% - Ênfase2 4 2" xfId="25" xr:uid="{00000000-0005-0000-0000-000011000000}"/>
    <cellStyle name="20% - Ênfase3 2" xfId="26" xr:uid="{00000000-0005-0000-0000-000012000000}"/>
    <cellStyle name="20% - Ênfase3 2 2" xfId="27" xr:uid="{00000000-0005-0000-0000-000013000000}"/>
    <cellStyle name="20% - Ênfase3 3" xfId="28" xr:uid="{00000000-0005-0000-0000-000014000000}"/>
    <cellStyle name="20% - Ênfase3 3 2" xfId="29" xr:uid="{00000000-0005-0000-0000-000015000000}"/>
    <cellStyle name="20% - Ênfase3 4" xfId="30" xr:uid="{00000000-0005-0000-0000-000016000000}"/>
    <cellStyle name="20% - Ênfase3 4 2" xfId="31" xr:uid="{00000000-0005-0000-0000-000017000000}"/>
    <cellStyle name="20% - Ênfase4 2" xfId="32" xr:uid="{00000000-0005-0000-0000-000018000000}"/>
    <cellStyle name="20% - Ênfase4 2 2" xfId="33" xr:uid="{00000000-0005-0000-0000-000019000000}"/>
    <cellStyle name="20% - Ênfase4 3" xfId="34" xr:uid="{00000000-0005-0000-0000-00001A000000}"/>
    <cellStyle name="20% - Ênfase4 3 2" xfId="35" xr:uid="{00000000-0005-0000-0000-00001B000000}"/>
    <cellStyle name="20% - Ênfase4 4" xfId="36" xr:uid="{00000000-0005-0000-0000-00001C000000}"/>
    <cellStyle name="20% - Ênfase4 4 2" xfId="37" xr:uid="{00000000-0005-0000-0000-00001D000000}"/>
    <cellStyle name="20% - Ênfase5 2" xfId="38" xr:uid="{00000000-0005-0000-0000-00001E000000}"/>
    <cellStyle name="20% - Ênfase5 2 2" xfId="39" xr:uid="{00000000-0005-0000-0000-00001F000000}"/>
    <cellStyle name="20% - Ênfase5 3" xfId="40" xr:uid="{00000000-0005-0000-0000-000020000000}"/>
    <cellStyle name="20% - Ênfase5 3 2" xfId="41" xr:uid="{00000000-0005-0000-0000-000021000000}"/>
    <cellStyle name="20% - Ênfase5 4" xfId="42" xr:uid="{00000000-0005-0000-0000-000022000000}"/>
    <cellStyle name="20% - Ênfase5 4 2" xfId="43" xr:uid="{00000000-0005-0000-0000-000023000000}"/>
    <cellStyle name="20% - Ênfase6 2" xfId="44" xr:uid="{00000000-0005-0000-0000-000024000000}"/>
    <cellStyle name="20% - Ênfase6 2 2" xfId="45" xr:uid="{00000000-0005-0000-0000-000025000000}"/>
    <cellStyle name="20% - Ênfase6 3" xfId="46" xr:uid="{00000000-0005-0000-0000-000026000000}"/>
    <cellStyle name="20% - Ênfase6 3 2" xfId="47" xr:uid="{00000000-0005-0000-0000-000027000000}"/>
    <cellStyle name="20% - Ênfase6 4" xfId="48" xr:uid="{00000000-0005-0000-0000-000028000000}"/>
    <cellStyle name="20% - Ênfase6 4 2" xfId="49" xr:uid="{00000000-0005-0000-0000-000029000000}"/>
    <cellStyle name="2o.nível" xfId="50" xr:uid="{00000000-0005-0000-0000-00002A000000}"/>
    <cellStyle name="40% - Ênfase1 2" xfId="51" xr:uid="{00000000-0005-0000-0000-00002B000000}"/>
    <cellStyle name="40% - Ênfase1 2 2" xfId="52" xr:uid="{00000000-0005-0000-0000-00002C000000}"/>
    <cellStyle name="40% - Ênfase1 3" xfId="53" xr:uid="{00000000-0005-0000-0000-00002D000000}"/>
    <cellStyle name="40% - Ênfase1 3 2" xfId="54" xr:uid="{00000000-0005-0000-0000-00002E000000}"/>
    <cellStyle name="40% - Ênfase1 4" xfId="55" xr:uid="{00000000-0005-0000-0000-00002F000000}"/>
    <cellStyle name="40% - Ênfase1 4 2" xfId="56" xr:uid="{00000000-0005-0000-0000-000030000000}"/>
    <cellStyle name="40% - Ênfase2 2" xfId="57" xr:uid="{00000000-0005-0000-0000-000031000000}"/>
    <cellStyle name="40% - Ênfase2 2 2" xfId="58" xr:uid="{00000000-0005-0000-0000-000032000000}"/>
    <cellStyle name="40% - Ênfase2 3" xfId="59" xr:uid="{00000000-0005-0000-0000-000033000000}"/>
    <cellStyle name="40% - Ênfase2 3 2" xfId="60" xr:uid="{00000000-0005-0000-0000-000034000000}"/>
    <cellStyle name="40% - Ênfase2 4" xfId="61" xr:uid="{00000000-0005-0000-0000-000035000000}"/>
    <cellStyle name="40% - Ênfase2 4 2" xfId="62" xr:uid="{00000000-0005-0000-0000-000036000000}"/>
    <cellStyle name="40% - Ênfase3 2" xfId="63" xr:uid="{00000000-0005-0000-0000-000037000000}"/>
    <cellStyle name="40% - Ênfase3 2 2" xfId="64" xr:uid="{00000000-0005-0000-0000-000038000000}"/>
    <cellStyle name="40% - Ênfase3 3" xfId="65" xr:uid="{00000000-0005-0000-0000-000039000000}"/>
    <cellStyle name="40% - Ênfase3 3 2" xfId="66" xr:uid="{00000000-0005-0000-0000-00003A000000}"/>
    <cellStyle name="40% - Ênfase3 4" xfId="67" xr:uid="{00000000-0005-0000-0000-00003B000000}"/>
    <cellStyle name="40% - Ênfase3 4 2" xfId="68" xr:uid="{00000000-0005-0000-0000-00003C000000}"/>
    <cellStyle name="40% - Ênfase4 2" xfId="69" xr:uid="{00000000-0005-0000-0000-00003D000000}"/>
    <cellStyle name="40% - Ênfase4 2 2" xfId="70" xr:uid="{00000000-0005-0000-0000-00003E000000}"/>
    <cellStyle name="40% - Ênfase4 3" xfId="71" xr:uid="{00000000-0005-0000-0000-00003F000000}"/>
    <cellStyle name="40% - Ênfase4 3 2" xfId="72" xr:uid="{00000000-0005-0000-0000-000040000000}"/>
    <cellStyle name="40% - Ênfase4 4" xfId="73" xr:uid="{00000000-0005-0000-0000-000041000000}"/>
    <cellStyle name="40% - Ênfase4 4 2" xfId="74" xr:uid="{00000000-0005-0000-0000-000042000000}"/>
    <cellStyle name="40% - Ênfase5 2" xfId="75" xr:uid="{00000000-0005-0000-0000-000043000000}"/>
    <cellStyle name="40% - Ênfase5 2 2" xfId="76" xr:uid="{00000000-0005-0000-0000-000044000000}"/>
    <cellStyle name="40% - Ênfase5 3" xfId="77" xr:uid="{00000000-0005-0000-0000-000045000000}"/>
    <cellStyle name="40% - Ênfase5 3 2" xfId="78" xr:uid="{00000000-0005-0000-0000-000046000000}"/>
    <cellStyle name="40% - Ênfase5 4" xfId="79" xr:uid="{00000000-0005-0000-0000-000047000000}"/>
    <cellStyle name="40% - Ênfase5 4 2" xfId="80" xr:uid="{00000000-0005-0000-0000-000048000000}"/>
    <cellStyle name="40% - Ênfase6 2" xfId="81" xr:uid="{00000000-0005-0000-0000-000049000000}"/>
    <cellStyle name="40% - Ênfase6 2 2" xfId="82" xr:uid="{00000000-0005-0000-0000-00004A000000}"/>
    <cellStyle name="40% - Ênfase6 3" xfId="83" xr:uid="{00000000-0005-0000-0000-00004B000000}"/>
    <cellStyle name="40% - Ênfase6 3 2" xfId="84" xr:uid="{00000000-0005-0000-0000-00004C000000}"/>
    <cellStyle name="40% - Ênfase6 4" xfId="85" xr:uid="{00000000-0005-0000-0000-00004D000000}"/>
    <cellStyle name="40% - Ênfase6 4 2" xfId="86" xr:uid="{00000000-0005-0000-0000-00004E000000}"/>
    <cellStyle name="60% - Ênfase1 2" xfId="87" xr:uid="{00000000-0005-0000-0000-00004F000000}"/>
    <cellStyle name="60% - Ênfase1 2 2" xfId="88" xr:uid="{00000000-0005-0000-0000-000050000000}"/>
    <cellStyle name="60% - Ênfase1 3" xfId="89" xr:uid="{00000000-0005-0000-0000-000051000000}"/>
    <cellStyle name="60% - Ênfase1 3 2" xfId="90" xr:uid="{00000000-0005-0000-0000-000052000000}"/>
    <cellStyle name="60% - Ênfase1 4" xfId="91" xr:uid="{00000000-0005-0000-0000-000053000000}"/>
    <cellStyle name="60% - Ênfase1 4 2" xfId="92" xr:uid="{00000000-0005-0000-0000-000054000000}"/>
    <cellStyle name="60% - Ênfase2 2" xfId="93" xr:uid="{00000000-0005-0000-0000-000055000000}"/>
    <cellStyle name="60% - Ênfase2 2 2" xfId="94" xr:uid="{00000000-0005-0000-0000-000056000000}"/>
    <cellStyle name="60% - Ênfase2 3" xfId="95" xr:uid="{00000000-0005-0000-0000-000057000000}"/>
    <cellStyle name="60% - Ênfase2 3 2" xfId="96" xr:uid="{00000000-0005-0000-0000-000058000000}"/>
    <cellStyle name="60% - Ênfase2 4" xfId="97" xr:uid="{00000000-0005-0000-0000-000059000000}"/>
    <cellStyle name="60% - Ênfase2 4 2" xfId="98" xr:uid="{00000000-0005-0000-0000-00005A000000}"/>
    <cellStyle name="60% - Ênfase3 2" xfId="99" xr:uid="{00000000-0005-0000-0000-00005B000000}"/>
    <cellStyle name="60% - Ênfase3 2 2" xfId="100" xr:uid="{00000000-0005-0000-0000-00005C000000}"/>
    <cellStyle name="60% - Ênfase3 3" xfId="101" xr:uid="{00000000-0005-0000-0000-00005D000000}"/>
    <cellStyle name="60% - Ênfase3 3 2" xfId="102" xr:uid="{00000000-0005-0000-0000-00005E000000}"/>
    <cellStyle name="60% - Ênfase3 4" xfId="103" xr:uid="{00000000-0005-0000-0000-00005F000000}"/>
    <cellStyle name="60% - Ênfase3 4 2" xfId="104" xr:uid="{00000000-0005-0000-0000-000060000000}"/>
    <cellStyle name="60% - Ênfase4 2" xfId="105" xr:uid="{00000000-0005-0000-0000-000061000000}"/>
    <cellStyle name="60% - Ênfase4 2 2" xfId="106" xr:uid="{00000000-0005-0000-0000-000062000000}"/>
    <cellStyle name="60% - Ênfase4 3" xfId="107" xr:uid="{00000000-0005-0000-0000-000063000000}"/>
    <cellStyle name="60% - Ênfase4 3 2" xfId="108" xr:uid="{00000000-0005-0000-0000-000064000000}"/>
    <cellStyle name="60% - Ênfase4 4" xfId="109" xr:uid="{00000000-0005-0000-0000-000065000000}"/>
    <cellStyle name="60% - Ênfase4 4 2" xfId="110" xr:uid="{00000000-0005-0000-0000-000066000000}"/>
    <cellStyle name="60% - Ênfase5 2" xfId="111" xr:uid="{00000000-0005-0000-0000-000067000000}"/>
    <cellStyle name="60% - Ênfase5 2 2" xfId="112" xr:uid="{00000000-0005-0000-0000-000068000000}"/>
    <cellStyle name="60% - Ênfase5 3" xfId="113" xr:uid="{00000000-0005-0000-0000-000069000000}"/>
    <cellStyle name="60% - Ênfase5 3 2" xfId="114" xr:uid="{00000000-0005-0000-0000-00006A000000}"/>
    <cellStyle name="60% - Ênfase5 4" xfId="115" xr:uid="{00000000-0005-0000-0000-00006B000000}"/>
    <cellStyle name="60% - Ênfase5 4 2" xfId="116" xr:uid="{00000000-0005-0000-0000-00006C000000}"/>
    <cellStyle name="60% - Ênfase6 2" xfId="117" xr:uid="{00000000-0005-0000-0000-00006D000000}"/>
    <cellStyle name="60% - Ênfase6 2 2" xfId="118" xr:uid="{00000000-0005-0000-0000-00006E000000}"/>
    <cellStyle name="60% - Ênfase6 3" xfId="119" xr:uid="{00000000-0005-0000-0000-00006F000000}"/>
    <cellStyle name="60% - Ênfase6 3 2" xfId="120" xr:uid="{00000000-0005-0000-0000-000070000000}"/>
    <cellStyle name="60% - Ênfase6 4" xfId="121" xr:uid="{00000000-0005-0000-0000-000071000000}"/>
    <cellStyle name="60% - Ênfase6 4 2" xfId="122" xr:uid="{00000000-0005-0000-0000-000072000000}"/>
    <cellStyle name="a_Divisão" xfId="123" xr:uid="{00000000-0005-0000-0000-000073000000}"/>
    <cellStyle name="a_normal" xfId="124" xr:uid="{00000000-0005-0000-0000-000074000000}"/>
    <cellStyle name="a_quebra_1" xfId="125" xr:uid="{00000000-0005-0000-0000-000075000000}"/>
    <cellStyle name="a_quebra_2" xfId="126" xr:uid="{00000000-0005-0000-0000-000076000000}"/>
    <cellStyle name="AbertBalan" xfId="127" xr:uid="{00000000-0005-0000-0000-000077000000}"/>
    <cellStyle name="Accent1" xfId="128" xr:uid="{00000000-0005-0000-0000-000078000000}"/>
    <cellStyle name="Accent1 - 20%" xfId="129" xr:uid="{00000000-0005-0000-0000-000079000000}"/>
    <cellStyle name="Accent1 - 20% 2" xfId="130" xr:uid="{00000000-0005-0000-0000-00007A000000}"/>
    <cellStyle name="Accent1 - 40%" xfId="131" xr:uid="{00000000-0005-0000-0000-00007B000000}"/>
    <cellStyle name="Accent1 - 40% 2" xfId="132" xr:uid="{00000000-0005-0000-0000-00007C000000}"/>
    <cellStyle name="Accent1 - 60%" xfId="133" xr:uid="{00000000-0005-0000-0000-00007D000000}"/>
    <cellStyle name="Accent1 - 60% 2" xfId="134" xr:uid="{00000000-0005-0000-0000-00007E000000}"/>
    <cellStyle name="Accent1 2" xfId="135" xr:uid="{00000000-0005-0000-0000-00007F000000}"/>
    <cellStyle name="Accent2" xfId="136" xr:uid="{00000000-0005-0000-0000-000080000000}"/>
    <cellStyle name="Accent2 - 20%" xfId="137" xr:uid="{00000000-0005-0000-0000-000081000000}"/>
    <cellStyle name="Accent2 - 20% 2" xfId="138" xr:uid="{00000000-0005-0000-0000-000082000000}"/>
    <cellStyle name="Accent2 - 40%" xfId="139" xr:uid="{00000000-0005-0000-0000-000083000000}"/>
    <cellStyle name="Accent2 - 40% 2" xfId="140" xr:uid="{00000000-0005-0000-0000-000084000000}"/>
    <cellStyle name="Accent2 - 60%" xfId="141" xr:uid="{00000000-0005-0000-0000-000085000000}"/>
    <cellStyle name="Accent2 - 60% 2" xfId="142" xr:uid="{00000000-0005-0000-0000-000086000000}"/>
    <cellStyle name="Accent2 2" xfId="143" xr:uid="{00000000-0005-0000-0000-000087000000}"/>
    <cellStyle name="Accent3" xfId="144" xr:uid="{00000000-0005-0000-0000-000088000000}"/>
    <cellStyle name="Accent3 - 20%" xfId="145" xr:uid="{00000000-0005-0000-0000-000089000000}"/>
    <cellStyle name="Accent3 - 20% 2" xfId="146" xr:uid="{00000000-0005-0000-0000-00008A000000}"/>
    <cellStyle name="Accent3 - 40%" xfId="147" xr:uid="{00000000-0005-0000-0000-00008B000000}"/>
    <cellStyle name="Accent3 - 40% 2" xfId="148" xr:uid="{00000000-0005-0000-0000-00008C000000}"/>
    <cellStyle name="Accent3 - 60%" xfId="149" xr:uid="{00000000-0005-0000-0000-00008D000000}"/>
    <cellStyle name="Accent3 - 60% 2" xfId="150" xr:uid="{00000000-0005-0000-0000-00008E000000}"/>
    <cellStyle name="Accent3 2" xfId="151" xr:uid="{00000000-0005-0000-0000-00008F000000}"/>
    <cellStyle name="Accent4" xfId="152" xr:uid="{00000000-0005-0000-0000-000090000000}"/>
    <cellStyle name="Accent4 - 20%" xfId="153" xr:uid="{00000000-0005-0000-0000-000091000000}"/>
    <cellStyle name="Accent4 - 20% 2" xfId="154" xr:uid="{00000000-0005-0000-0000-000092000000}"/>
    <cellStyle name="Accent4 - 40%" xfId="155" xr:uid="{00000000-0005-0000-0000-000093000000}"/>
    <cellStyle name="Accent4 - 40% 2" xfId="156" xr:uid="{00000000-0005-0000-0000-000094000000}"/>
    <cellStyle name="Accent4 - 60%" xfId="157" xr:uid="{00000000-0005-0000-0000-000095000000}"/>
    <cellStyle name="Accent4 - 60% 2" xfId="158" xr:uid="{00000000-0005-0000-0000-000096000000}"/>
    <cellStyle name="Accent4 2" xfId="159" xr:uid="{00000000-0005-0000-0000-000097000000}"/>
    <cellStyle name="Accent5" xfId="160" xr:uid="{00000000-0005-0000-0000-000098000000}"/>
    <cellStyle name="Accent5 - 20%" xfId="161" xr:uid="{00000000-0005-0000-0000-000099000000}"/>
    <cellStyle name="Accent5 - 20% 2" xfId="162" xr:uid="{00000000-0005-0000-0000-00009A000000}"/>
    <cellStyle name="Accent5 - 40%" xfId="163" xr:uid="{00000000-0005-0000-0000-00009B000000}"/>
    <cellStyle name="Accent5 - 40% 2" xfId="164" xr:uid="{00000000-0005-0000-0000-00009C000000}"/>
    <cellStyle name="Accent5 - 60%" xfId="165" xr:uid="{00000000-0005-0000-0000-00009D000000}"/>
    <cellStyle name="Accent5 - 60% 2" xfId="166" xr:uid="{00000000-0005-0000-0000-00009E000000}"/>
    <cellStyle name="Accent5 2" xfId="167" xr:uid="{00000000-0005-0000-0000-00009F000000}"/>
    <cellStyle name="Accent6" xfId="168" xr:uid="{00000000-0005-0000-0000-0000A0000000}"/>
    <cellStyle name="Accent6 - 20%" xfId="169" xr:uid="{00000000-0005-0000-0000-0000A1000000}"/>
    <cellStyle name="Accent6 - 20% 2" xfId="170" xr:uid="{00000000-0005-0000-0000-0000A2000000}"/>
    <cellStyle name="Accent6 - 40%" xfId="171" xr:uid="{00000000-0005-0000-0000-0000A3000000}"/>
    <cellStyle name="Accent6 - 40% 2" xfId="172" xr:uid="{00000000-0005-0000-0000-0000A4000000}"/>
    <cellStyle name="Accent6 - 60%" xfId="173" xr:uid="{00000000-0005-0000-0000-0000A5000000}"/>
    <cellStyle name="Accent6 - 60% 2" xfId="174" xr:uid="{00000000-0005-0000-0000-0000A6000000}"/>
    <cellStyle name="Accent6 2" xfId="175" xr:uid="{00000000-0005-0000-0000-0000A7000000}"/>
    <cellStyle name="anobase" xfId="176" xr:uid="{00000000-0005-0000-0000-0000A8000000}"/>
    <cellStyle name="anos" xfId="177" xr:uid="{00000000-0005-0000-0000-0000A9000000}"/>
    <cellStyle name="b_x0005_$da" xfId="178" xr:uid="{00000000-0005-0000-0000-0000AA000000}"/>
    <cellStyle name="b_x0005_$da 2" xfId="179" xr:uid="{00000000-0005-0000-0000-0000AB000000}"/>
    <cellStyle name="Bad" xfId="180" xr:uid="{00000000-0005-0000-0000-0000AC000000}"/>
    <cellStyle name="Bad 2" xfId="181" xr:uid="{00000000-0005-0000-0000-0000AD000000}"/>
    <cellStyle name="Bom 2" xfId="182" xr:uid="{00000000-0005-0000-0000-0000AE000000}"/>
    <cellStyle name="Bom 2 2" xfId="183" xr:uid="{00000000-0005-0000-0000-0000AF000000}"/>
    <cellStyle name="Bom 3" xfId="184" xr:uid="{00000000-0005-0000-0000-0000B0000000}"/>
    <cellStyle name="Bom 3 2" xfId="185" xr:uid="{00000000-0005-0000-0000-0000B1000000}"/>
    <cellStyle name="Bom 4" xfId="186" xr:uid="{00000000-0005-0000-0000-0000B2000000}"/>
    <cellStyle name="Bom 4 2" xfId="187" xr:uid="{00000000-0005-0000-0000-0000B3000000}"/>
    <cellStyle name="Calc Currency (0)" xfId="188" xr:uid="{00000000-0005-0000-0000-0000B4000000}"/>
    <cellStyle name="Calc Currency (0) 2" xfId="189" xr:uid="{00000000-0005-0000-0000-0000B5000000}"/>
    <cellStyle name="Calc Currency (2)" xfId="190" xr:uid="{00000000-0005-0000-0000-0000B6000000}"/>
    <cellStyle name="Calc Currency (2) 2" xfId="191" xr:uid="{00000000-0005-0000-0000-0000B7000000}"/>
    <cellStyle name="Calc Percent (0)" xfId="192" xr:uid="{00000000-0005-0000-0000-0000B8000000}"/>
    <cellStyle name="Calc Percent (0) 2" xfId="193" xr:uid="{00000000-0005-0000-0000-0000B9000000}"/>
    <cellStyle name="Calc Percent (1)" xfId="194" xr:uid="{00000000-0005-0000-0000-0000BA000000}"/>
    <cellStyle name="Calc Percent (1) 2" xfId="195" xr:uid="{00000000-0005-0000-0000-0000BB000000}"/>
    <cellStyle name="Calc Percent (2)" xfId="196" xr:uid="{00000000-0005-0000-0000-0000BC000000}"/>
    <cellStyle name="Calc Percent (2) 2" xfId="197" xr:uid="{00000000-0005-0000-0000-0000BD000000}"/>
    <cellStyle name="Calc Units (0)" xfId="198" xr:uid="{00000000-0005-0000-0000-0000BE000000}"/>
    <cellStyle name="Calc Units (0) 2" xfId="199" xr:uid="{00000000-0005-0000-0000-0000BF000000}"/>
    <cellStyle name="Calc Units (1)" xfId="200" xr:uid="{00000000-0005-0000-0000-0000C0000000}"/>
    <cellStyle name="Calc Units (1) 2" xfId="201" xr:uid="{00000000-0005-0000-0000-0000C1000000}"/>
    <cellStyle name="Calc Units (2)" xfId="202" xr:uid="{00000000-0005-0000-0000-0000C2000000}"/>
    <cellStyle name="Calc Units (2) 2" xfId="203" xr:uid="{00000000-0005-0000-0000-0000C3000000}"/>
    <cellStyle name="Calculation" xfId="204" xr:uid="{00000000-0005-0000-0000-0000C4000000}"/>
    <cellStyle name="Calculation 2" xfId="205" xr:uid="{00000000-0005-0000-0000-0000C5000000}"/>
    <cellStyle name="Cálculo 2" xfId="206" xr:uid="{00000000-0005-0000-0000-0000C6000000}"/>
    <cellStyle name="Cálculo 2 2" xfId="207" xr:uid="{00000000-0005-0000-0000-0000C7000000}"/>
    <cellStyle name="Cálculo 3" xfId="208" xr:uid="{00000000-0005-0000-0000-0000C8000000}"/>
    <cellStyle name="Cálculo 3 2" xfId="209" xr:uid="{00000000-0005-0000-0000-0000C9000000}"/>
    <cellStyle name="Cálculo 4" xfId="210" xr:uid="{00000000-0005-0000-0000-0000CA000000}"/>
    <cellStyle name="Cálculo 4 2" xfId="211" xr:uid="{00000000-0005-0000-0000-0000CB000000}"/>
    <cellStyle name="Célula de Verificação 2" xfId="212" xr:uid="{00000000-0005-0000-0000-0000CC000000}"/>
    <cellStyle name="Célula de Verificação 2 2" xfId="213" xr:uid="{00000000-0005-0000-0000-0000CD000000}"/>
    <cellStyle name="Célula de Verificação 3" xfId="214" xr:uid="{00000000-0005-0000-0000-0000CE000000}"/>
    <cellStyle name="Célula de Verificação 3 2" xfId="215" xr:uid="{00000000-0005-0000-0000-0000CF000000}"/>
    <cellStyle name="Célula de Verificação 4" xfId="216" xr:uid="{00000000-0005-0000-0000-0000D0000000}"/>
    <cellStyle name="Célula de Verificação 4 2" xfId="217" xr:uid="{00000000-0005-0000-0000-0000D1000000}"/>
    <cellStyle name="Célula Vinculada 2" xfId="218" xr:uid="{00000000-0005-0000-0000-0000D2000000}"/>
    <cellStyle name="Célula Vinculada 2 2" xfId="219" xr:uid="{00000000-0005-0000-0000-0000D3000000}"/>
    <cellStyle name="Célula Vinculada 3" xfId="220" xr:uid="{00000000-0005-0000-0000-0000D4000000}"/>
    <cellStyle name="Célula Vinculada 3 2" xfId="221" xr:uid="{00000000-0005-0000-0000-0000D5000000}"/>
    <cellStyle name="Célula Vinculada 4" xfId="222" xr:uid="{00000000-0005-0000-0000-0000D6000000}"/>
    <cellStyle name="Célula Vinculada 4 2" xfId="223" xr:uid="{00000000-0005-0000-0000-0000D7000000}"/>
    <cellStyle name="Check Cell" xfId="224" xr:uid="{00000000-0005-0000-0000-0000D8000000}"/>
    <cellStyle name="Check Cell 2" xfId="225" xr:uid="{00000000-0005-0000-0000-0000D9000000}"/>
    <cellStyle name="Comma [0]_12matrix" xfId="226" xr:uid="{00000000-0005-0000-0000-0000DA000000}"/>
    <cellStyle name="Comma [00]" xfId="227" xr:uid="{00000000-0005-0000-0000-0000DB000000}"/>
    <cellStyle name="Comma [00] 2" xfId="228" xr:uid="{00000000-0005-0000-0000-0000DC000000}"/>
    <cellStyle name="Comma_12matrix" xfId="229" xr:uid="{00000000-0005-0000-0000-0000DD000000}"/>
    <cellStyle name="Comma0 - Modelo1" xfId="230" xr:uid="{00000000-0005-0000-0000-0000DE000000}"/>
    <cellStyle name="Comma0 - Style1" xfId="231" xr:uid="{00000000-0005-0000-0000-0000DF000000}"/>
    <cellStyle name="Comma1 - Modelo2" xfId="232" xr:uid="{00000000-0005-0000-0000-0000E0000000}"/>
    <cellStyle name="Comma1 - Style2" xfId="233" xr:uid="{00000000-0005-0000-0000-0000E1000000}"/>
    <cellStyle name="COMUN" xfId="234" xr:uid="{00000000-0005-0000-0000-0000E2000000}"/>
    <cellStyle name="Copied" xfId="235" xr:uid="{00000000-0005-0000-0000-0000E3000000}"/>
    <cellStyle name="Copied 2" xfId="236" xr:uid="{00000000-0005-0000-0000-0000E4000000}"/>
    <cellStyle name="COST1" xfId="237" xr:uid="{00000000-0005-0000-0000-0000E5000000}"/>
    <cellStyle name="COST1 2" xfId="238" xr:uid="{00000000-0005-0000-0000-0000E6000000}"/>
    <cellStyle name="Currency [0]_12matrix" xfId="239" xr:uid="{00000000-0005-0000-0000-0000E7000000}"/>
    <cellStyle name="Currency [00]" xfId="240" xr:uid="{00000000-0005-0000-0000-0000E8000000}"/>
    <cellStyle name="Currency [00] 2" xfId="241" xr:uid="{00000000-0005-0000-0000-0000E9000000}"/>
    <cellStyle name="Currency_12matrix" xfId="242" xr:uid="{00000000-0005-0000-0000-0000EA000000}"/>
    <cellStyle name="Data" xfId="243" xr:uid="{00000000-0005-0000-0000-0000EB000000}"/>
    <cellStyle name="Date Short" xfId="244" xr:uid="{00000000-0005-0000-0000-0000EC000000}"/>
    <cellStyle name="Date Short 2" xfId="245" xr:uid="{00000000-0005-0000-0000-0000ED000000}"/>
    <cellStyle name="Dezimal [0]_Germany" xfId="246" xr:uid="{00000000-0005-0000-0000-0000EE000000}"/>
    <cellStyle name="Dezimal_Germany" xfId="247" xr:uid="{00000000-0005-0000-0000-0000EF000000}"/>
    <cellStyle name="Dia" xfId="248" xr:uid="{00000000-0005-0000-0000-0000F0000000}"/>
    <cellStyle name="divisao" xfId="249" xr:uid="{00000000-0005-0000-0000-0000F1000000}"/>
    <cellStyle name="Emphasis 1" xfId="250" xr:uid="{00000000-0005-0000-0000-0000F2000000}"/>
    <cellStyle name="Emphasis 1 2" xfId="251" xr:uid="{00000000-0005-0000-0000-0000F3000000}"/>
    <cellStyle name="Emphasis 2" xfId="252" xr:uid="{00000000-0005-0000-0000-0000F4000000}"/>
    <cellStyle name="Emphasis 2 2" xfId="253" xr:uid="{00000000-0005-0000-0000-0000F5000000}"/>
    <cellStyle name="Emphasis 3" xfId="254" xr:uid="{00000000-0005-0000-0000-0000F6000000}"/>
    <cellStyle name="Emphasis 3 2" xfId="255" xr:uid="{00000000-0005-0000-0000-0000F7000000}"/>
    <cellStyle name="Encabez1" xfId="256" xr:uid="{00000000-0005-0000-0000-0000F8000000}"/>
    <cellStyle name="Encabez2" xfId="257" xr:uid="{00000000-0005-0000-0000-0000F9000000}"/>
    <cellStyle name="Ênfase1 2" xfId="258" xr:uid="{00000000-0005-0000-0000-0000FA000000}"/>
    <cellStyle name="Ênfase1 2 2" xfId="259" xr:uid="{00000000-0005-0000-0000-0000FB000000}"/>
    <cellStyle name="Ênfase1 3" xfId="260" xr:uid="{00000000-0005-0000-0000-0000FC000000}"/>
    <cellStyle name="Ênfase1 3 2" xfId="261" xr:uid="{00000000-0005-0000-0000-0000FD000000}"/>
    <cellStyle name="Ênfase1 4" xfId="262" xr:uid="{00000000-0005-0000-0000-0000FE000000}"/>
    <cellStyle name="Ênfase1 4 2" xfId="263" xr:uid="{00000000-0005-0000-0000-0000FF000000}"/>
    <cellStyle name="Ênfase2 2" xfId="264" xr:uid="{00000000-0005-0000-0000-000000010000}"/>
    <cellStyle name="Ênfase2 2 2" xfId="265" xr:uid="{00000000-0005-0000-0000-000001010000}"/>
    <cellStyle name="Ênfase2 3" xfId="266" xr:uid="{00000000-0005-0000-0000-000002010000}"/>
    <cellStyle name="Ênfase2 3 2" xfId="267" xr:uid="{00000000-0005-0000-0000-000003010000}"/>
    <cellStyle name="Ênfase2 4" xfId="268" xr:uid="{00000000-0005-0000-0000-000004010000}"/>
    <cellStyle name="Ênfase2 4 2" xfId="269" xr:uid="{00000000-0005-0000-0000-000005010000}"/>
    <cellStyle name="Ênfase3 2" xfId="270" xr:uid="{00000000-0005-0000-0000-000006010000}"/>
    <cellStyle name="Ênfase3 2 2" xfId="271" xr:uid="{00000000-0005-0000-0000-000007010000}"/>
    <cellStyle name="Ênfase3 3" xfId="272" xr:uid="{00000000-0005-0000-0000-000008010000}"/>
    <cellStyle name="Ênfase3 3 2" xfId="273" xr:uid="{00000000-0005-0000-0000-000009010000}"/>
    <cellStyle name="Ênfase3 4" xfId="274" xr:uid="{00000000-0005-0000-0000-00000A010000}"/>
    <cellStyle name="Ênfase3 4 2" xfId="275" xr:uid="{00000000-0005-0000-0000-00000B010000}"/>
    <cellStyle name="Ênfase4 2" xfId="276" xr:uid="{00000000-0005-0000-0000-00000C010000}"/>
    <cellStyle name="Ênfase4 2 2" xfId="277" xr:uid="{00000000-0005-0000-0000-00000D010000}"/>
    <cellStyle name="Ênfase4 3" xfId="278" xr:uid="{00000000-0005-0000-0000-00000E010000}"/>
    <cellStyle name="Ênfase4 3 2" xfId="279" xr:uid="{00000000-0005-0000-0000-00000F010000}"/>
    <cellStyle name="Ênfase4 4" xfId="280" xr:uid="{00000000-0005-0000-0000-000010010000}"/>
    <cellStyle name="Ênfase4 4 2" xfId="281" xr:uid="{00000000-0005-0000-0000-000011010000}"/>
    <cellStyle name="Ênfase5 2" xfId="282" xr:uid="{00000000-0005-0000-0000-000012010000}"/>
    <cellStyle name="Ênfase5 2 2" xfId="283" xr:uid="{00000000-0005-0000-0000-000013010000}"/>
    <cellStyle name="Ênfase5 3" xfId="284" xr:uid="{00000000-0005-0000-0000-000014010000}"/>
    <cellStyle name="Ênfase5 3 2" xfId="285" xr:uid="{00000000-0005-0000-0000-000015010000}"/>
    <cellStyle name="Ênfase5 4" xfId="286" xr:uid="{00000000-0005-0000-0000-000016010000}"/>
    <cellStyle name="Ênfase5 4 2" xfId="287" xr:uid="{00000000-0005-0000-0000-000017010000}"/>
    <cellStyle name="Ênfase6 2" xfId="288" xr:uid="{00000000-0005-0000-0000-000018010000}"/>
    <cellStyle name="Ênfase6 2 2" xfId="289" xr:uid="{00000000-0005-0000-0000-000019010000}"/>
    <cellStyle name="Ênfase6 3" xfId="290" xr:uid="{00000000-0005-0000-0000-00001A010000}"/>
    <cellStyle name="Ênfase6 3 2" xfId="291" xr:uid="{00000000-0005-0000-0000-00001B010000}"/>
    <cellStyle name="Ênfase6 4" xfId="292" xr:uid="{00000000-0005-0000-0000-00001C010000}"/>
    <cellStyle name="Ênfase6 4 2" xfId="293" xr:uid="{00000000-0005-0000-0000-00001D010000}"/>
    <cellStyle name="Enter Currency (0)" xfId="294" xr:uid="{00000000-0005-0000-0000-00001E010000}"/>
    <cellStyle name="Enter Currency (0) 2" xfId="295" xr:uid="{00000000-0005-0000-0000-00001F010000}"/>
    <cellStyle name="Enter Currency (2)" xfId="296" xr:uid="{00000000-0005-0000-0000-000020010000}"/>
    <cellStyle name="Enter Currency (2) 2" xfId="297" xr:uid="{00000000-0005-0000-0000-000021010000}"/>
    <cellStyle name="Enter Units (0)" xfId="298" xr:uid="{00000000-0005-0000-0000-000022010000}"/>
    <cellStyle name="Enter Units (0) 2" xfId="299" xr:uid="{00000000-0005-0000-0000-000023010000}"/>
    <cellStyle name="Enter Units (1)" xfId="300" xr:uid="{00000000-0005-0000-0000-000024010000}"/>
    <cellStyle name="Enter Units (1) 2" xfId="301" xr:uid="{00000000-0005-0000-0000-000025010000}"/>
    <cellStyle name="Enter Units (2)" xfId="302" xr:uid="{00000000-0005-0000-0000-000026010000}"/>
    <cellStyle name="Enter Units (2) 2" xfId="303" xr:uid="{00000000-0005-0000-0000-000027010000}"/>
    <cellStyle name="Entered" xfId="304" xr:uid="{00000000-0005-0000-0000-000028010000}"/>
    <cellStyle name="Entered 2" xfId="305" xr:uid="{00000000-0005-0000-0000-000029010000}"/>
    <cellStyle name="Entrada 2" xfId="306" xr:uid="{00000000-0005-0000-0000-00002A010000}"/>
    <cellStyle name="Entrada 2 2" xfId="307" xr:uid="{00000000-0005-0000-0000-00002B010000}"/>
    <cellStyle name="Entrada 3" xfId="308" xr:uid="{00000000-0005-0000-0000-00002C010000}"/>
    <cellStyle name="Entrada 3 2" xfId="309" xr:uid="{00000000-0005-0000-0000-00002D010000}"/>
    <cellStyle name="Entrada 4" xfId="310" xr:uid="{00000000-0005-0000-0000-00002E010000}"/>
    <cellStyle name="Entrada 4 2" xfId="311" xr:uid="{00000000-0005-0000-0000-00002F010000}"/>
    <cellStyle name="Estilo 1" xfId="312" xr:uid="{00000000-0005-0000-0000-000030010000}"/>
    <cellStyle name="Estilo 1 2" xfId="313" xr:uid="{00000000-0005-0000-0000-000031010000}"/>
    <cellStyle name="Euro" xfId="314" xr:uid="{00000000-0005-0000-0000-000032010000}"/>
    <cellStyle name="F2" xfId="315" xr:uid="{00000000-0005-0000-0000-000033010000}"/>
    <cellStyle name="F3" xfId="316" xr:uid="{00000000-0005-0000-0000-000034010000}"/>
    <cellStyle name="F4" xfId="317" xr:uid="{00000000-0005-0000-0000-000035010000}"/>
    <cellStyle name="F5" xfId="318" xr:uid="{00000000-0005-0000-0000-000036010000}"/>
    <cellStyle name="F6" xfId="319" xr:uid="{00000000-0005-0000-0000-000037010000}"/>
    <cellStyle name="F7" xfId="320" xr:uid="{00000000-0005-0000-0000-000038010000}"/>
    <cellStyle name="F8" xfId="321" xr:uid="{00000000-0005-0000-0000-000039010000}"/>
    <cellStyle name="Fijo" xfId="322" xr:uid="{00000000-0005-0000-0000-00003A010000}"/>
    <cellStyle name="Financiero" xfId="323" xr:uid="{00000000-0005-0000-0000-00003B010000}"/>
    <cellStyle name="Followed Hyperlink" xfId="324" xr:uid="{00000000-0005-0000-0000-00003C010000}"/>
    <cellStyle name="Followed Hyperlink 2" xfId="325" xr:uid="{00000000-0005-0000-0000-00003D010000}"/>
    <cellStyle name="Good" xfId="326" xr:uid="{00000000-0005-0000-0000-00003E010000}"/>
    <cellStyle name="Good 2" xfId="327" xr:uid="{00000000-0005-0000-0000-00003F010000}"/>
    <cellStyle name="Grey" xfId="328" xr:uid="{00000000-0005-0000-0000-000040010000}"/>
    <cellStyle name="Grey 2" xfId="329" xr:uid="{00000000-0005-0000-0000-000041010000}"/>
    <cellStyle name="Grupo" xfId="330" xr:uid="{00000000-0005-0000-0000-000042010000}"/>
    <cellStyle name="Grupo 2" xfId="991" xr:uid="{00000000-0005-0000-0000-000043010000}"/>
    <cellStyle name="Header1" xfId="331" xr:uid="{00000000-0005-0000-0000-000044010000}"/>
    <cellStyle name="Header1 2" xfId="332" xr:uid="{00000000-0005-0000-0000-000045010000}"/>
    <cellStyle name="Header2" xfId="333" xr:uid="{00000000-0005-0000-0000-000046010000}"/>
    <cellStyle name="Header2 2" xfId="334" xr:uid="{00000000-0005-0000-0000-000047010000}"/>
    <cellStyle name="Heading 1" xfId="335" xr:uid="{00000000-0005-0000-0000-000048010000}"/>
    <cellStyle name="Heading 1 2" xfId="336" xr:uid="{00000000-0005-0000-0000-000049010000}"/>
    <cellStyle name="Heading 2" xfId="337" xr:uid="{00000000-0005-0000-0000-00004A010000}"/>
    <cellStyle name="Heading 2 2" xfId="338" xr:uid="{00000000-0005-0000-0000-00004B010000}"/>
    <cellStyle name="Heading 3" xfId="339" xr:uid="{00000000-0005-0000-0000-00004C010000}"/>
    <cellStyle name="Heading 3 2" xfId="340" xr:uid="{00000000-0005-0000-0000-00004D010000}"/>
    <cellStyle name="Heading 4" xfId="341" xr:uid="{00000000-0005-0000-0000-00004E010000}"/>
    <cellStyle name="Heading 4 2" xfId="342" xr:uid="{00000000-0005-0000-0000-00004F010000}"/>
    <cellStyle name="Incorreto 2" xfId="343" xr:uid="{00000000-0005-0000-0000-000050010000}"/>
    <cellStyle name="Incorreto 2 2" xfId="344" xr:uid="{00000000-0005-0000-0000-000051010000}"/>
    <cellStyle name="Incorreto 3" xfId="345" xr:uid="{00000000-0005-0000-0000-000052010000}"/>
    <cellStyle name="Incorreto 3 2" xfId="346" xr:uid="{00000000-0005-0000-0000-000053010000}"/>
    <cellStyle name="Incorreto 4" xfId="347" xr:uid="{00000000-0005-0000-0000-000054010000}"/>
    <cellStyle name="Incorreto 4 2" xfId="348" xr:uid="{00000000-0005-0000-0000-000055010000}"/>
    <cellStyle name="Indefinido" xfId="349" xr:uid="{00000000-0005-0000-0000-000056010000}"/>
    <cellStyle name="Indefinido 2" xfId="350" xr:uid="{00000000-0005-0000-0000-000057010000}"/>
    <cellStyle name="indice" xfId="351" xr:uid="{00000000-0005-0000-0000-000058010000}"/>
    <cellStyle name="indice 2" xfId="352" xr:uid="{00000000-0005-0000-0000-000059010000}"/>
    <cellStyle name="indice 3" xfId="353" xr:uid="{00000000-0005-0000-0000-00005A010000}"/>
    <cellStyle name="indice 4" xfId="354" xr:uid="{00000000-0005-0000-0000-00005B010000}"/>
    <cellStyle name="Input" xfId="355" xr:uid="{00000000-0005-0000-0000-00005C010000}"/>
    <cellStyle name="Input [yellow]" xfId="356" xr:uid="{00000000-0005-0000-0000-00005D010000}"/>
    <cellStyle name="Input [yellow] 2" xfId="357" xr:uid="{00000000-0005-0000-0000-00005E010000}"/>
    <cellStyle name="Input 2" xfId="358" xr:uid="{00000000-0005-0000-0000-00005F010000}"/>
    <cellStyle name="Komma [0]_laroux" xfId="359" xr:uid="{00000000-0005-0000-0000-000060010000}"/>
    <cellStyle name="Komma_laroux" xfId="360" xr:uid="{00000000-0005-0000-0000-000061010000}"/>
    <cellStyle name="l" xfId="361" xr:uid="{00000000-0005-0000-0000-000062010000}"/>
    <cellStyle name="l 2" xfId="362" xr:uid="{00000000-0005-0000-0000-000063010000}"/>
    <cellStyle name="LeverCurrency" xfId="363" xr:uid="{00000000-0005-0000-0000-000064010000}"/>
    <cellStyle name="LeverCurrency 2" xfId="364" xr:uid="{00000000-0005-0000-0000-000065010000}"/>
    <cellStyle name="LeverGRP" xfId="365" xr:uid="{00000000-0005-0000-0000-000066010000}"/>
    <cellStyle name="LeverGRP 2" xfId="366" xr:uid="{00000000-0005-0000-0000-000067010000}"/>
    <cellStyle name="Lien hypertexte_PERSONAL" xfId="367" xr:uid="{00000000-0005-0000-0000-000068010000}"/>
    <cellStyle name="Link Currency (0)" xfId="368" xr:uid="{00000000-0005-0000-0000-000069010000}"/>
    <cellStyle name="Link Currency (0) 2" xfId="369" xr:uid="{00000000-0005-0000-0000-00006A010000}"/>
    <cellStyle name="Link Currency (2)" xfId="370" xr:uid="{00000000-0005-0000-0000-00006B010000}"/>
    <cellStyle name="Link Currency (2) 2" xfId="371" xr:uid="{00000000-0005-0000-0000-00006C010000}"/>
    <cellStyle name="Link Units (0)" xfId="372" xr:uid="{00000000-0005-0000-0000-00006D010000}"/>
    <cellStyle name="Link Units (0) 2" xfId="373" xr:uid="{00000000-0005-0000-0000-00006E010000}"/>
    <cellStyle name="Link Units (1)" xfId="374" xr:uid="{00000000-0005-0000-0000-00006F010000}"/>
    <cellStyle name="Link Units (1) 2" xfId="375" xr:uid="{00000000-0005-0000-0000-000070010000}"/>
    <cellStyle name="Link Units (2)" xfId="376" xr:uid="{00000000-0005-0000-0000-000071010000}"/>
    <cellStyle name="Link Units (2) 2" xfId="377" xr:uid="{00000000-0005-0000-0000-000072010000}"/>
    <cellStyle name="Linked Cell" xfId="378" xr:uid="{00000000-0005-0000-0000-000073010000}"/>
    <cellStyle name="Linked Cell 2" xfId="379" xr:uid="{00000000-0005-0000-0000-000074010000}"/>
    <cellStyle name="Millares [0]_10 AVERIAS MASIVAS + ANT" xfId="380" xr:uid="{00000000-0005-0000-0000-000075010000}"/>
    <cellStyle name="Millares_10 AVERIAS MASIVAS + ANT" xfId="381" xr:uid="{00000000-0005-0000-0000-000076010000}"/>
    <cellStyle name="Milliers [0]_#4-Cust Seg Cnt Map" xfId="382" xr:uid="{00000000-0005-0000-0000-000077010000}"/>
    <cellStyle name="Milliers_#4-Cust Seg Cnt Map" xfId="383" xr:uid="{00000000-0005-0000-0000-000078010000}"/>
    <cellStyle name="Moeda 2" xfId="384" xr:uid="{00000000-0005-0000-0000-000079010000}"/>
    <cellStyle name="Moeda 2 2" xfId="385" xr:uid="{00000000-0005-0000-0000-00007A010000}"/>
    <cellStyle name="Moeda 2 2 2" xfId="386" xr:uid="{00000000-0005-0000-0000-00007B010000}"/>
    <cellStyle name="Moeda 2 3" xfId="387" xr:uid="{00000000-0005-0000-0000-00007C010000}"/>
    <cellStyle name="Moeda 3" xfId="388" xr:uid="{00000000-0005-0000-0000-00007D010000}"/>
    <cellStyle name="Moeda 3 2" xfId="389" xr:uid="{00000000-0005-0000-0000-00007E010000}"/>
    <cellStyle name="Moeda 3 2 2" xfId="390" xr:uid="{00000000-0005-0000-0000-00007F010000}"/>
    <cellStyle name="Moeda 3 3" xfId="391" xr:uid="{00000000-0005-0000-0000-000080010000}"/>
    <cellStyle name="Moneda [0]_10 AVERIAS MASIVAS + ANT" xfId="392" xr:uid="{00000000-0005-0000-0000-000081010000}"/>
    <cellStyle name="Moneda_10 AVERIAS MASIVAS + ANT" xfId="393" xr:uid="{00000000-0005-0000-0000-000082010000}"/>
    <cellStyle name="Monétaire [0]_#4-Cust Seg Cnt Map" xfId="394" xr:uid="{00000000-0005-0000-0000-000083010000}"/>
    <cellStyle name="Monétaire_#4-Cust Seg Cnt Map" xfId="395" xr:uid="{00000000-0005-0000-0000-000084010000}"/>
    <cellStyle name="Monetario" xfId="396" xr:uid="{00000000-0005-0000-0000-000085010000}"/>
    <cellStyle name="movimentação" xfId="397" xr:uid="{00000000-0005-0000-0000-000086010000}"/>
    <cellStyle name="Neutra 2" xfId="398" xr:uid="{00000000-0005-0000-0000-000087010000}"/>
    <cellStyle name="Neutra 2 2" xfId="399" xr:uid="{00000000-0005-0000-0000-000088010000}"/>
    <cellStyle name="Neutra 3" xfId="400" xr:uid="{00000000-0005-0000-0000-000089010000}"/>
    <cellStyle name="Neutra 3 2" xfId="401" xr:uid="{00000000-0005-0000-0000-00008A010000}"/>
    <cellStyle name="Neutra 4" xfId="402" xr:uid="{00000000-0005-0000-0000-00008B010000}"/>
    <cellStyle name="Neutra 4 2" xfId="403" xr:uid="{00000000-0005-0000-0000-00008C010000}"/>
    <cellStyle name="Neutral" xfId="404" xr:uid="{00000000-0005-0000-0000-00008D010000}"/>
    <cellStyle name="Neutral 2" xfId="405" xr:uid="{00000000-0005-0000-0000-00008E010000}"/>
    <cellStyle name="no dec" xfId="406" xr:uid="{00000000-0005-0000-0000-00008F010000}"/>
    <cellStyle name="Normal" xfId="0" builtinId="0"/>
    <cellStyle name="Normal - Style1" xfId="407" xr:uid="{00000000-0005-0000-0000-000091010000}"/>
    <cellStyle name="Normal - Style1 2" xfId="408" xr:uid="{00000000-0005-0000-0000-000092010000}"/>
    <cellStyle name="Normal 10" xfId="409" xr:uid="{00000000-0005-0000-0000-000093010000}"/>
    <cellStyle name="Normal 10 2" xfId="410" xr:uid="{00000000-0005-0000-0000-000094010000}"/>
    <cellStyle name="Normal 10 2 2" xfId="411" xr:uid="{00000000-0005-0000-0000-000095010000}"/>
    <cellStyle name="Normal 10 2 2 2" xfId="412" xr:uid="{00000000-0005-0000-0000-000096010000}"/>
    <cellStyle name="Normal 10 2 3" xfId="413" xr:uid="{00000000-0005-0000-0000-000097010000}"/>
    <cellStyle name="Normal 10 3" xfId="414" xr:uid="{00000000-0005-0000-0000-000098010000}"/>
    <cellStyle name="Normal 10 3 2" xfId="415" xr:uid="{00000000-0005-0000-0000-000099010000}"/>
    <cellStyle name="Normal 10 3 2 2" xfId="416" xr:uid="{00000000-0005-0000-0000-00009A010000}"/>
    <cellStyle name="Normal 10 3 3" xfId="417" xr:uid="{00000000-0005-0000-0000-00009B010000}"/>
    <cellStyle name="Normal 10 4" xfId="418" xr:uid="{00000000-0005-0000-0000-00009C010000}"/>
    <cellStyle name="Normal 10 4 2" xfId="419" xr:uid="{00000000-0005-0000-0000-00009D010000}"/>
    <cellStyle name="Normal 10 4 2 2" xfId="420" xr:uid="{00000000-0005-0000-0000-00009E010000}"/>
    <cellStyle name="Normal 10 4 3" xfId="421" xr:uid="{00000000-0005-0000-0000-00009F010000}"/>
    <cellStyle name="Normal 10 5" xfId="422" xr:uid="{00000000-0005-0000-0000-0000A0010000}"/>
    <cellStyle name="Normal 10 5 2" xfId="423" xr:uid="{00000000-0005-0000-0000-0000A1010000}"/>
    <cellStyle name="Normal 10 6" xfId="424" xr:uid="{00000000-0005-0000-0000-0000A2010000}"/>
    <cellStyle name="Normal 11" xfId="425" xr:uid="{00000000-0005-0000-0000-0000A3010000}"/>
    <cellStyle name="Normal 11 2" xfId="426" xr:uid="{00000000-0005-0000-0000-0000A4010000}"/>
    <cellStyle name="Normal 11 2 2" xfId="427" xr:uid="{00000000-0005-0000-0000-0000A5010000}"/>
    <cellStyle name="Normal 11 2 2 2" xfId="428" xr:uid="{00000000-0005-0000-0000-0000A6010000}"/>
    <cellStyle name="Normal 11 2 3" xfId="429" xr:uid="{00000000-0005-0000-0000-0000A7010000}"/>
    <cellStyle name="Normal 11 3" xfId="430" xr:uid="{00000000-0005-0000-0000-0000A8010000}"/>
    <cellStyle name="Normal 11 3 2" xfId="431" xr:uid="{00000000-0005-0000-0000-0000A9010000}"/>
    <cellStyle name="Normal 11 3 2 2" xfId="432" xr:uid="{00000000-0005-0000-0000-0000AA010000}"/>
    <cellStyle name="Normal 11 3 3" xfId="433" xr:uid="{00000000-0005-0000-0000-0000AB010000}"/>
    <cellStyle name="Normal 11 4" xfId="434" xr:uid="{00000000-0005-0000-0000-0000AC010000}"/>
    <cellStyle name="Normal 11 4 2" xfId="435" xr:uid="{00000000-0005-0000-0000-0000AD010000}"/>
    <cellStyle name="Normal 11 4 2 2" xfId="436" xr:uid="{00000000-0005-0000-0000-0000AE010000}"/>
    <cellStyle name="Normal 11 4 3" xfId="437" xr:uid="{00000000-0005-0000-0000-0000AF010000}"/>
    <cellStyle name="Normal 11 5" xfId="438" xr:uid="{00000000-0005-0000-0000-0000B0010000}"/>
    <cellStyle name="Normal 11 5 2" xfId="439" xr:uid="{00000000-0005-0000-0000-0000B1010000}"/>
    <cellStyle name="Normal 11 6" xfId="440" xr:uid="{00000000-0005-0000-0000-0000B2010000}"/>
    <cellStyle name="Normal 12" xfId="441" xr:uid="{00000000-0005-0000-0000-0000B3010000}"/>
    <cellStyle name="Normal 12 2" xfId="442" xr:uid="{00000000-0005-0000-0000-0000B4010000}"/>
    <cellStyle name="Normal 12 2 2" xfId="443" xr:uid="{00000000-0005-0000-0000-0000B5010000}"/>
    <cellStyle name="Normal 12 2 2 2" xfId="444" xr:uid="{00000000-0005-0000-0000-0000B6010000}"/>
    <cellStyle name="Normal 12 2 3" xfId="445" xr:uid="{00000000-0005-0000-0000-0000B7010000}"/>
    <cellStyle name="Normal 12 3" xfId="446" xr:uid="{00000000-0005-0000-0000-0000B8010000}"/>
    <cellStyle name="Normal 12 3 2" xfId="447" xr:uid="{00000000-0005-0000-0000-0000B9010000}"/>
    <cellStyle name="Normal 12 3 2 2" xfId="448" xr:uid="{00000000-0005-0000-0000-0000BA010000}"/>
    <cellStyle name="Normal 12 3 3" xfId="449" xr:uid="{00000000-0005-0000-0000-0000BB010000}"/>
    <cellStyle name="Normal 12 4" xfId="450" xr:uid="{00000000-0005-0000-0000-0000BC010000}"/>
    <cellStyle name="Normal 12 4 2" xfId="451" xr:uid="{00000000-0005-0000-0000-0000BD010000}"/>
    <cellStyle name="Normal 12 4 2 2" xfId="452" xr:uid="{00000000-0005-0000-0000-0000BE010000}"/>
    <cellStyle name="Normal 12 4 3" xfId="453" xr:uid="{00000000-0005-0000-0000-0000BF010000}"/>
    <cellStyle name="Normal 12 5" xfId="454" xr:uid="{00000000-0005-0000-0000-0000C0010000}"/>
    <cellStyle name="Normal 12 5 2" xfId="455" xr:uid="{00000000-0005-0000-0000-0000C1010000}"/>
    <cellStyle name="Normal 12 6" xfId="456" xr:uid="{00000000-0005-0000-0000-0000C2010000}"/>
    <cellStyle name="Normal 13" xfId="457" xr:uid="{00000000-0005-0000-0000-0000C3010000}"/>
    <cellStyle name="Normal 13 2" xfId="458" xr:uid="{00000000-0005-0000-0000-0000C4010000}"/>
    <cellStyle name="Normal 13 2 2" xfId="459" xr:uid="{00000000-0005-0000-0000-0000C5010000}"/>
    <cellStyle name="Normal 13 2 2 2" xfId="460" xr:uid="{00000000-0005-0000-0000-0000C6010000}"/>
    <cellStyle name="Normal 13 2 3" xfId="461" xr:uid="{00000000-0005-0000-0000-0000C7010000}"/>
    <cellStyle name="Normal 13 3" xfId="462" xr:uid="{00000000-0005-0000-0000-0000C8010000}"/>
    <cellStyle name="Normal 13 3 2" xfId="463" xr:uid="{00000000-0005-0000-0000-0000C9010000}"/>
    <cellStyle name="Normal 13 3 2 2" xfId="464" xr:uid="{00000000-0005-0000-0000-0000CA010000}"/>
    <cellStyle name="Normal 13 3 3" xfId="465" xr:uid="{00000000-0005-0000-0000-0000CB010000}"/>
    <cellStyle name="Normal 13 4" xfId="466" xr:uid="{00000000-0005-0000-0000-0000CC010000}"/>
    <cellStyle name="Normal 13 4 2" xfId="467" xr:uid="{00000000-0005-0000-0000-0000CD010000}"/>
    <cellStyle name="Normal 13 4 2 2" xfId="468" xr:uid="{00000000-0005-0000-0000-0000CE010000}"/>
    <cellStyle name="Normal 13 4 3" xfId="469" xr:uid="{00000000-0005-0000-0000-0000CF010000}"/>
    <cellStyle name="Normal 13 5" xfId="470" xr:uid="{00000000-0005-0000-0000-0000D0010000}"/>
    <cellStyle name="Normal 13 5 2" xfId="471" xr:uid="{00000000-0005-0000-0000-0000D1010000}"/>
    <cellStyle name="Normal 13 6" xfId="472" xr:uid="{00000000-0005-0000-0000-0000D2010000}"/>
    <cellStyle name="Normal 13 6 2" xfId="473" xr:uid="{00000000-0005-0000-0000-0000D3010000}"/>
    <cellStyle name="Normal 13 7" xfId="474" xr:uid="{00000000-0005-0000-0000-0000D4010000}"/>
    <cellStyle name="Normal 14" xfId="475" xr:uid="{00000000-0005-0000-0000-0000D5010000}"/>
    <cellStyle name="Normal 14 2" xfId="476" xr:uid="{00000000-0005-0000-0000-0000D6010000}"/>
    <cellStyle name="Normal 14 2 2" xfId="477" xr:uid="{00000000-0005-0000-0000-0000D7010000}"/>
    <cellStyle name="Normal 14 3" xfId="478" xr:uid="{00000000-0005-0000-0000-0000D8010000}"/>
    <cellStyle name="Normal 15" xfId="3" xr:uid="{00000000-0005-0000-0000-0000D9010000}"/>
    <cellStyle name="Normal 15 2" xfId="6" xr:uid="{00000000-0005-0000-0000-0000DA010000}"/>
    <cellStyle name="Normal 15 3" xfId="479" xr:uid="{00000000-0005-0000-0000-0000DB010000}"/>
    <cellStyle name="Normal 15 3 2" xfId="480" xr:uid="{00000000-0005-0000-0000-0000DC010000}"/>
    <cellStyle name="Normal 15 3 2 2" xfId="481" xr:uid="{00000000-0005-0000-0000-0000DD010000}"/>
    <cellStyle name="Normal 15 3 3" xfId="482" xr:uid="{00000000-0005-0000-0000-0000DE010000}"/>
    <cellStyle name="Normal 16" xfId="483" xr:uid="{00000000-0005-0000-0000-0000DF010000}"/>
    <cellStyle name="Normal 17" xfId="484" xr:uid="{00000000-0005-0000-0000-0000E0010000}"/>
    <cellStyle name="Normal 17 2" xfId="485" xr:uid="{00000000-0005-0000-0000-0000E1010000}"/>
    <cellStyle name="Normal 18" xfId="486" xr:uid="{00000000-0005-0000-0000-0000E2010000}"/>
    <cellStyle name="Normal 19" xfId="487" xr:uid="{00000000-0005-0000-0000-0000E3010000}"/>
    <cellStyle name="Normal 19 2" xfId="488" xr:uid="{00000000-0005-0000-0000-0000E4010000}"/>
    <cellStyle name="Normal 2" xfId="489" xr:uid="{00000000-0005-0000-0000-0000E5010000}"/>
    <cellStyle name="Normal 2 2" xfId="490" xr:uid="{00000000-0005-0000-0000-0000E6010000}"/>
    <cellStyle name="Normal 2 2 2" xfId="491" xr:uid="{00000000-0005-0000-0000-0000E7010000}"/>
    <cellStyle name="Normal 2 2 2 2" xfId="492" xr:uid="{00000000-0005-0000-0000-0000E8010000}"/>
    <cellStyle name="Normal 2 3" xfId="493" xr:uid="{00000000-0005-0000-0000-0000E9010000}"/>
    <cellStyle name="Normal 2 3 2" xfId="494" xr:uid="{00000000-0005-0000-0000-0000EA010000}"/>
    <cellStyle name="Normal 2 4" xfId="495" xr:uid="{00000000-0005-0000-0000-0000EB010000}"/>
    <cellStyle name="Normal 2 4 2" xfId="496" xr:uid="{00000000-0005-0000-0000-0000EC010000}"/>
    <cellStyle name="Normal 20" xfId="497" xr:uid="{00000000-0005-0000-0000-0000ED010000}"/>
    <cellStyle name="Normal 20 2" xfId="498" xr:uid="{00000000-0005-0000-0000-0000EE010000}"/>
    <cellStyle name="Normal 21" xfId="499" xr:uid="{00000000-0005-0000-0000-0000EF010000}"/>
    <cellStyle name="Normal 21 2" xfId="500" xr:uid="{00000000-0005-0000-0000-0000F0010000}"/>
    <cellStyle name="Normal 22" xfId="501" xr:uid="{00000000-0005-0000-0000-0000F1010000}"/>
    <cellStyle name="Normal 22 2" xfId="502" xr:uid="{00000000-0005-0000-0000-0000F2010000}"/>
    <cellStyle name="Normal 23" xfId="503" xr:uid="{00000000-0005-0000-0000-0000F3010000}"/>
    <cellStyle name="Normal 23 2" xfId="504" xr:uid="{00000000-0005-0000-0000-0000F4010000}"/>
    <cellStyle name="Normal 24" xfId="505" xr:uid="{00000000-0005-0000-0000-0000F5010000}"/>
    <cellStyle name="Normal 25" xfId="506" xr:uid="{00000000-0005-0000-0000-0000F6010000}"/>
    <cellStyle name="Normal 26" xfId="507" xr:uid="{00000000-0005-0000-0000-0000F7010000}"/>
    <cellStyle name="Normal 27" xfId="508" xr:uid="{00000000-0005-0000-0000-0000F8010000}"/>
    <cellStyle name="Normal 28" xfId="509" xr:uid="{00000000-0005-0000-0000-0000F9010000}"/>
    <cellStyle name="Normal 29" xfId="510" xr:uid="{00000000-0005-0000-0000-0000FA010000}"/>
    <cellStyle name="Normal 3" xfId="511" xr:uid="{00000000-0005-0000-0000-0000FB010000}"/>
    <cellStyle name="Normal 3 2" xfId="512" xr:uid="{00000000-0005-0000-0000-0000FC010000}"/>
    <cellStyle name="Normal 3 2 2" xfId="513" xr:uid="{00000000-0005-0000-0000-0000FD010000}"/>
    <cellStyle name="Normal 30" xfId="514" xr:uid="{00000000-0005-0000-0000-0000FE010000}"/>
    <cellStyle name="Normal 31" xfId="515" xr:uid="{00000000-0005-0000-0000-0000FF010000}"/>
    <cellStyle name="Normal 32" xfId="516" xr:uid="{00000000-0005-0000-0000-000000020000}"/>
    <cellStyle name="Normal 33" xfId="517" xr:uid="{00000000-0005-0000-0000-000001020000}"/>
    <cellStyle name="Normal 34" xfId="518" xr:uid="{00000000-0005-0000-0000-000002020000}"/>
    <cellStyle name="Normal 35" xfId="519" xr:uid="{00000000-0005-0000-0000-000003020000}"/>
    <cellStyle name="Normal 36" xfId="520" xr:uid="{00000000-0005-0000-0000-000004020000}"/>
    <cellStyle name="Normal 37" xfId="521" xr:uid="{00000000-0005-0000-0000-000005020000}"/>
    <cellStyle name="Normal 38" xfId="522" xr:uid="{00000000-0005-0000-0000-000006020000}"/>
    <cellStyle name="Normal 39" xfId="523" xr:uid="{00000000-0005-0000-0000-000007020000}"/>
    <cellStyle name="Normal 4" xfId="524" xr:uid="{00000000-0005-0000-0000-000008020000}"/>
    <cellStyle name="Normal 4 2" xfId="525" xr:uid="{00000000-0005-0000-0000-000009020000}"/>
    <cellStyle name="Normal 4 2 2" xfId="526" xr:uid="{00000000-0005-0000-0000-00000A020000}"/>
    <cellStyle name="Normal 40" xfId="527" xr:uid="{00000000-0005-0000-0000-00000B020000}"/>
    <cellStyle name="Normal 41" xfId="528" xr:uid="{00000000-0005-0000-0000-00000C020000}"/>
    <cellStyle name="Normal 42" xfId="529" xr:uid="{00000000-0005-0000-0000-00000D020000}"/>
    <cellStyle name="Normal 43" xfId="530" xr:uid="{00000000-0005-0000-0000-00000E020000}"/>
    <cellStyle name="Normal 44" xfId="531" xr:uid="{00000000-0005-0000-0000-00000F020000}"/>
    <cellStyle name="Normal 45" xfId="532" xr:uid="{00000000-0005-0000-0000-000010020000}"/>
    <cellStyle name="Normal 46" xfId="533" xr:uid="{00000000-0005-0000-0000-000011020000}"/>
    <cellStyle name="Normal 47" xfId="534" xr:uid="{00000000-0005-0000-0000-000012020000}"/>
    <cellStyle name="Normal 48" xfId="535" xr:uid="{00000000-0005-0000-0000-000013020000}"/>
    <cellStyle name="Normal 49" xfId="536" xr:uid="{00000000-0005-0000-0000-000014020000}"/>
    <cellStyle name="Normal 5" xfId="537" xr:uid="{00000000-0005-0000-0000-000015020000}"/>
    <cellStyle name="Normal 5 2" xfId="538" xr:uid="{00000000-0005-0000-0000-000016020000}"/>
    <cellStyle name="Normal 5 2 2" xfId="539" xr:uid="{00000000-0005-0000-0000-000017020000}"/>
    <cellStyle name="Normal 5 2 3" xfId="540" xr:uid="{00000000-0005-0000-0000-000018020000}"/>
    <cellStyle name="Normal 5 2 4" xfId="541" xr:uid="{00000000-0005-0000-0000-000019020000}"/>
    <cellStyle name="Normal 5 3" xfId="542" xr:uid="{00000000-0005-0000-0000-00001A020000}"/>
    <cellStyle name="Normal 5 4" xfId="543" xr:uid="{00000000-0005-0000-0000-00001B020000}"/>
    <cellStyle name="Normal 5 5" xfId="544" xr:uid="{00000000-0005-0000-0000-00001C020000}"/>
    <cellStyle name="Normal 5 6" xfId="545" xr:uid="{00000000-0005-0000-0000-00001D020000}"/>
    <cellStyle name="Normal 50" xfId="546" xr:uid="{00000000-0005-0000-0000-00001E020000}"/>
    <cellStyle name="Normal 51" xfId="547" xr:uid="{00000000-0005-0000-0000-00001F020000}"/>
    <cellStyle name="Normal 52" xfId="548" xr:uid="{00000000-0005-0000-0000-000020020000}"/>
    <cellStyle name="Normal 53" xfId="549" xr:uid="{00000000-0005-0000-0000-000021020000}"/>
    <cellStyle name="Normal 54" xfId="550" xr:uid="{00000000-0005-0000-0000-000022020000}"/>
    <cellStyle name="Normal 55" xfId="551" xr:uid="{00000000-0005-0000-0000-000023020000}"/>
    <cellStyle name="Normal 56" xfId="552" xr:uid="{00000000-0005-0000-0000-000024020000}"/>
    <cellStyle name="Normal 57" xfId="553" xr:uid="{00000000-0005-0000-0000-000025020000}"/>
    <cellStyle name="Normal 58" xfId="554" xr:uid="{00000000-0005-0000-0000-000026020000}"/>
    <cellStyle name="Normal 59" xfId="555" xr:uid="{00000000-0005-0000-0000-000027020000}"/>
    <cellStyle name="Normal 6" xfId="556" xr:uid="{00000000-0005-0000-0000-000028020000}"/>
    <cellStyle name="Normal 6 2" xfId="557" xr:uid="{00000000-0005-0000-0000-000029020000}"/>
    <cellStyle name="Normal 6 2 2" xfId="558" xr:uid="{00000000-0005-0000-0000-00002A020000}"/>
    <cellStyle name="Normal 6 2 2 2" xfId="559" xr:uid="{00000000-0005-0000-0000-00002B020000}"/>
    <cellStyle name="Normal 6 2 2 2 2" xfId="560" xr:uid="{00000000-0005-0000-0000-00002C020000}"/>
    <cellStyle name="Normal 6 2 2 2 2 2" xfId="561" xr:uid="{00000000-0005-0000-0000-00002D020000}"/>
    <cellStyle name="Normal 6 2 2 2 3" xfId="562" xr:uid="{00000000-0005-0000-0000-00002E020000}"/>
    <cellStyle name="Normal 6 2 2 3" xfId="563" xr:uid="{00000000-0005-0000-0000-00002F020000}"/>
    <cellStyle name="Normal 6 2 2 3 2" xfId="564" xr:uid="{00000000-0005-0000-0000-000030020000}"/>
    <cellStyle name="Normal 6 2 2 3 2 2" xfId="565" xr:uid="{00000000-0005-0000-0000-000031020000}"/>
    <cellStyle name="Normal 6 2 2 3 3" xfId="566" xr:uid="{00000000-0005-0000-0000-000032020000}"/>
    <cellStyle name="Normal 6 2 2 4" xfId="567" xr:uid="{00000000-0005-0000-0000-000033020000}"/>
    <cellStyle name="Normal 6 2 2 4 2" xfId="568" xr:uid="{00000000-0005-0000-0000-000034020000}"/>
    <cellStyle name="Normal 6 2 2 4 2 2" xfId="569" xr:uid="{00000000-0005-0000-0000-000035020000}"/>
    <cellStyle name="Normal 6 2 2 4 3" xfId="570" xr:uid="{00000000-0005-0000-0000-000036020000}"/>
    <cellStyle name="Normal 6 2 2 5" xfId="571" xr:uid="{00000000-0005-0000-0000-000037020000}"/>
    <cellStyle name="Normal 6 2 2 5 2" xfId="572" xr:uid="{00000000-0005-0000-0000-000038020000}"/>
    <cellStyle name="Normal 6 2 2 6" xfId="573" xr:uid="{00000000-0005-0000-0000-000039020000}"/>
    <cellStyle name="Normal 6 2 3" xfId="574" xr:uid="{00000000-0005-0000-0000-00003A020000}"/>
    <cellStyle name="Normal 6 2 3 2" xfId="575" xr:uid="{00000000-0005-0000-0000-00003B020000}"/>
    <cellStyle name="Normal 6 2 3 2 2" xfId="576" xr:uid="{00000000-0005-0000-0000-00003C020000}"/>
    <cellStyle name="Normal 6 2 3 3" xfId="577" xr:uid="{00000000-0005-0000-0000-00003D020000}"/>
    <cellStyle name="Normal 6 2 4" xfId="578" xr:uid="{00000000-0005-0000-0000-00003E020000}"/>
    <cellStyle name="Normal 6 2 4 2" xfId="579" xr:uid="{00000000-0005-0000-0000-00003F020000}"/>
    <cellStyle name="Normal 6 2 4 2 2" xfId="580" xr:uid="{00000000-0005-0000-0000-000040020000}"/>
    <cellStyle name="Normal 6 2 4 3" xfId="581" xr:uid="{00000000-0005-0000-0000-000041020000}"/>
    <cellStyle name="Normal 6 2 5" xfId="582" xr:uid="{00000000-0005-0000-0000-000042020000}"/>
    <cellStyle name="Normal 6 2 5 2" xfId="583" xr:uid="{00000000-0005-0000-0000-000043020000}"/>
    <cellStyle name="Normal 6 2 5 2 2" xfId="584" xr:uid="{00000000-0005-0000-0000-000044020000}"/>
    <cellStyle name="Normal 6 2 5 3" xfId="585" xr:uid="{00000000-0005-0000-0000-000045020000}"/>
    <cellStyle name="Normal 6 2 6" xfId="586" xr:uid="{00000000-0005-0000-0000-000046020000}"/>
    <cellStyle name="Normal 6 2 6 2" xfId="587" xr:uid="{00000000-0005-0000-0000-000047020000}"/>
    <cellStyle name="Normal 6 2 7" xfId="588" xr:uid="{00000000-0005-0000-0000-000048020000}"/>
    <cellStyle name="Normal 6 3" xfId="589" xr:uid="{00000000-0005-0000-0000-000049020000}"/>
    <cellStyle name="Normal 6 3 2" xfId="590" xr:uid="{00000000-0005-0000-0000-00004A020000}"/>
    <cellStyle name="Normal 6 3 2 2" xfId="591" xr:uid="{00000000-0005-0000-0000-00004B020000}"/>
    <cellStyle name="Normal 6 3 3" xfId="592" xr:uid="{00000000-0005-0000-0000-00004C020000}"/>
    <cellStyle name="Normal 6 4" xfId="593" xr:uid="{00000000-0005-0000-0000-00004D020000}"/>
    <cellStyle name="Normal 6 4 2" xfId="594" xr:uid="{00000000-0005-0000-0000-00004E020000}"/>
    <cellStyle name="Normal 6 4 2 2" xfId="595" xr:uid="{00000000-0005-0000-0000-00004F020000}"/>
    <cellStyle name="Normal 6 4 3" xfId="596" xr:uid="{00000000-0005-0000-0000-000050020000}"/>
    <cellStyle name="Normal 6 5" xfId="597" xr:uid="{00000000-0005-0000-0000-000051020000}"/>
    <cellStyle name="Normal 6 5 2" xfId="598" xr:uid="{00000000-0005-0000-0000-000052020000}"/>
    <cellStyle name="Normal 6 5 2 2" xfId="599" xr:uid="{00000000-0005-0000-0000-000053020000}"/>
    <cellStyle name="Normal 6 5 3" xfId="600" xr:uid="{00000000-0005-0000-0000-000054020000}"/>
    <cellStyle name="Normal 6 6" xfId="601" xr:uid="{00000000-0005-0000-0000-000055020000}"/>
    <cellStyle name="Normal 6 6 2" xfId="602" xr:uid="{00000000-0005-0000-0000-000056020000}"/>
    <cellStyle name="Normal 6 7" xfId="603" xr:uid="{00000000-0005-0000-0000-000057020000}"/>
    <cellStyle name="Normal 60" xfId="604" xr:uid="{00000000-0005-0000-0000-000058020000}"/>
    <cellStyle name="Normal 61" xfId="605" xr:uid="{00000000-0005-0000-0000-000059020000}"/>
    <cellStyle name="Normal 62" xfId="606" xr:uid="{00000000-0005-0000-0000-00005A020000}"/>
    <cellStyle name="Normal 63" xfId="962" xr:uid="{00000000-0005-0000-0000-00005B020000}"/>
    <cellStyle name="Normal 63 2" xfId="1086" xr:uid="{00000000-0005-0000-0000-00005C020000}"/>
    <cellStyle name="Normal 64" xfId="963" xr:uid="{00000000-0005-0000-0000-00005D020000}"/>
    <cellStyle name="Normal 65" xfId="964" xr:uid="{00000000-0005-0000-0000-00005E020000}"/>
    <cellStyle name="Normal 66" xfId="965" xr:uid="{00000000-0005-0000-0000-00005F020000}"/>
    <cellStyle name="Normal 67" xfId="966" xr:uid="{00000000-0005-0000-0000-000060020000}"/>
    <cellStyle name="Normal 68" xfId="982" xr:uid="{00000000-0005-0000-0000-000061020000}"/>
    <cellStyle name="Normal 68 2" xfId="1092" xr:uid="{00000000-0005-0000-0000-000062020000}"/>
    <cellStyle name="Normal 69" xfId="985" xr:uid="{00000000-0005-0000-0000-000063020000}"/>
    <cellStyle name="Normal 69 2" xfId="1093" xr:uid="{00000000-0005-0000-0000-000064020000}"/>
    <cellStyle name="Normal 7" xfId="607" xr:uid="{00000000-0005-0000-0000-000065020000}"/>
    <cellStyle name="Normal 70" xfId="987" xr:uid="{00000000-0005-0000-0000-000066020000}"/>
    <cellStyle name="Normal 70 2" xfId="1095" xr:uid="{00000000-0005-0000-0000-000067020000}"/>
    <cellStyle name="Normal 8" xfId="608" xr:uid="{00000000-0005-0000-0000-000068020000}"/>
    <cellStyle name="Normal 8 2" xfId="609" xr:uid="{00000000-0005-0000-0000-000069020000}"/>
    <cellStyle name="Normal 8 3" xfId="610" xr:uid="{00000000-0005-0000-0000-00006A020000}"/>
    <cellStyle name="Normal 8 4" xfId="611" xr:uid="{00000000-0005-0000-0000-00006B020000}"/>
    <cellStyle name="Normal 9" xfId="612" xr:uid="{00000000-0005-0000-0000-00006C020000}"/>
    <cellStyle name="Normal 9 10" xfId="613" xr:uid="{00000000-0005-0000-0000-00006D020000}"/>
    <cellStyle name="Normal 9 11" xfId="614" xr:uid="{00000000-0005-0000-0000-00006E020000}"/>
    <cellStyle name="Normal 9 12" xfId="615" xr:uid="{00000000-0005-0000-0000-00006F020000}"/>
    <cellStyle name="Normal 9 13" xfId="616" xr:uid="{00000000-0005-0000-0000-000070020000}"/>
    <cellStyle name="Normal 9 14" xfId="617" xr:uid="{00000000-0005-0000-0000-000071020000}"/>
    <cellStyle name="Normal 9 15" xfId="618" xr:uid="{00000000-0005-0000-0000-000072020000}"/>
    <cellStyle name="Normal 9 16" xfId="619" xr:uid="{00000000-0005-0000-0000-000073020000}"/>
    <cellStyle name="Normal 9 17" xfId="620" xr:uid="{00000000-0005-0000-0000-000074020000}"/>
    <cellStyle name="Normal 9 18" xfId="621" xr:uid="{00000000-0005-0000-0000-000075020000}"/>
    <cellStyle name="Normal 9 19" xfId="961" xr:uid="{00000000-0005-0000-0000-000076020000}"/>
    <cellStyle name="Normal 9 2" xfId="622" xr:uid="{00000000-0005-0000-0000-000077020000}"/>
    <cellStyle name="Normal 9 2 2" xfId="623" xr:uid="{00000000-0005-0000-0000-000078020000}"/>
    <cellStyle name="Normal 9 2 2 2" xfId="624" xr:uid="{00000000-0005-0000-0000-000079020000}"/>
    <cellStyle name="Normal 9 2 2 2 2" xfId="625" xr:uid="{00000000-0005-0000-0000-00007A020000}"/>
    <cellStyle name="Normal 9 2 2 3" xfId="626" xr:uid="{00000000-0005-0000-0000-00007B020000}"/>
    <cellStyle name="Normal 9 2 3" xfId="627" xr:uid="{00000000-0005-0000-0000-00007C020000}"/>
    <cellStyle name="Normal 9 2 3 2" xfId="628" xr:uid="{00000000-0005-0000-0000-00007D020000}"/>
    <cellStyle name="Normal 9 2 3 2 2" xfId="629" xr:uid="{00000000-0005-0000-0000-00007E020000}"/>
    <cellStyle name="Normal 9 2 3 3" xfId="630" xr:uid="{00000000-0005-0000-0000-00007F020000}"/>
    <cellStyle name="Normal 9 2 4" xfId="631" xr:uid="{00000000-0005-0000-0000-000080020000}"/>
    <cellStyle name="Normal 9 2 4 2" xfId="632" xr:uid="{00000000-0005-0000-0000-000081020000}"/>
    <cellStyle name="Normal 9 2 4 2 2" xfId="633" xr:uid="{00000000-0005-0000-0000-000082020000}"/>
    <cellStyle name="Normal 9 2 4 3" xfId="634" xr:uid="{00000000-0005-0000-0000-000083020000}"/>
    <cellStyle name="Normal 9 2 5" xfId="635" xr:uid="{00000000-0005-0000-0000-000084020000}"/>
    <cellStyle name="Normal 9 2 5 2" xfId="636" xr:uid="{00000000-0005-0000-0000-000085020000}"/>
    <cellStyle name="Normal 9 2 6" xfId="637" xr:uid="{00000000-0005-0000-0000-000086020000}"/>
    <cellStyle name="Normal 9 20" xfId="967" xr:uid="{00000000-0005-0000-0000-000087020000}"/>
    <cellStyle name="Normal 9 21" xfId="968" xr:uid="{00000000-0005-0000-0000-000088020000}"/>
    <cellStyle name="Normal 9 22" xfId="969" xr:uid="{00000000-0005-0000-0000-000089020000}"/>
    <cellStyle name="Normal 9 23" xfId="970" xr:uid="{00000000-0005-0000-0000-00008A020000}"/>
    <cellStyle name="Normal 9 24" xfId="971" xr:uid="{00000000-0005-0000-0000-00008B020000}"/>
    <cellStyle name="Normal 9 3" xfId="638" xr:uid="{00000000-0005-0000-0000-00008C020000}"/>
    <cellStyle name="Normal 9 3 2" xfId="639" xr:uid="{00000000-0005-0000-0000-00008D020000}"/>
    <cellStyle name="Normal 9 3 2 2" xfId="640" xr:uid="{00000000-0005-0000-0000-00008E020000}"/>
    <cellStyle name="Normal 9 3 3" xfId="641" xr:uid="{00000000-0005-0000-0000-00008F020000}"/>
    <cellStyle name="Normal 9 4" xfId="642" xr:uid="{00000000-0005-0000-0000-000090020000}"/>
    <cellStyle name="Normal 9 4 2" xfId="643" xr:uid="{00000000-0005-0000-0000-000091020000}"/>
    <cellStyle name="Normal 9 4 2 2" xfId="644" xr:uid="{00000000-0005-0000-0000-000092020000}"/>
    <cellStyle name="Normal 9 4 3" xfId="645" xr:uid="{00000000-0005-0000-0000-000093020000}"/>
    <cellStyle name="Normal 9 5" xfId="646" xr:uid="{00000000-0005-0000-0000-000094020000}"/>
    <cellStyle name="Normal 9 5 2" xfId="647" xr:uid="{00000000-0005-0000-0000-000095020000}"/>
    <cellStyle name="Normal 9 5 2 2" xfId="648" xr:uid="{00000000-0005-0000-0000-000096020000}"/>
    <cellStyle name="Normal 9 5 3" xfId="649" xr:uid="{00000000-0005-0000-0000-000097020000}"/>
    <cellStyle name="Normal 9 6" xfId="650" xr:uid="{00000000-0005-0000-0000-000098020000}"/>
    <cellStyle name="Normal 9 6 2" xfId="651" xr:uid="{00000000-0005-0000-0000-000099020000}"/>
    <cellStyle name="Normal 9 6 2 2" xfId="652" xr:uid="{00000000-0005-0000-0000-00009A020000}"/>
    <cellStyle name="Normal 9 6 3" xfId="653" xr:uid="{00000000-0005-0000-0000-00009B020000}"/>
    <cellStyle name="Normal 9 7" xfId="654" xr:uid="{00000000-0005-0000-0000-00009C020000}"/>
    <cellStyle name="Normal 9 7 2" xfId="655" xr:uid="{00000000-0005-0000-0000-00009D020000}"/>
    <cellStyle name="Normal 9 8" xfId="656" xr:uid="{00000000-0005-0000-0000-00009E020000}"/>
    <cellStyle name="Normal 9 8 2" xfId="657" xr:uid="{00000000-0005-0000-0000-00009F020000}"/>
    <cellStyle name="Normal 9 9" xfId="658" xr:uid="{00000000-0005-0000-0000-0000A0020000}"/>
    <cellStyle name="Normal 9 9 2" xfId="659" xr:uid="{00000000-0005-0000-0000-0000A1020000}"/>
    <cellStyle name="Normal_Book" xfId="983" xr:uid="{00000000-0005-0000-0000-0000A2020000}"/>
    <cellStyle name="Normal_Book 2" xfId="984" xr:uid="{00000000-0005-0000-0000-0000A3020000}"/>
    <cellStyle name="normal1" xfId="660" xr:uid="{00000000-0005-0000-0000-0000A4020000}"/>
    <cellStyle name="Nota 2" xfId="661" xr:uid="{00000000-0005-0000-0000-0000A5020000}"/>
    <cellStyle name="Nota 2 2" xfId="662" xr:uid="{00000000-0005-0000-0000-0000A6020000}"/>
    <cellStyle name="Nota 3" xfId="663" xr:uid="{00000000-0005-0000-0000-0000A7020000}"/>
    <cellStyle name="Nota 3 2" xfId="664" xr:uid="{00000000-0005-0000-0000-0000A8020000}"/>
    <cellStyle name="Nota 4" xfId="665" xr:uid="{00000000-0005-0000-0000-0000A9020000}"/>
    <cellStyle name="Nota 4 2" xfId="666" xr:uid="{00000000-0005-0000-0000-0000AA020000}"/>
    <cellStyle name="Note" xfId="667" xr:uid="{00000000-0005-0000-0000-0000AB020000}"/>
    <cellStyle name="Note 2" xfId="668" xr:uid="{00000000-0005-0000-0000-0000AC020000}"/>
    <cellStyle name="Output" xfId="669" xr:uid="{00000000-0005-0000-0000-0000AD020000}"/>
    <cellStyle name="Output 2" xfId="670" xr:uid="{00000000-0005-0000-0000-0000AE020000}"/>
    <cellStyle name="Pagina" xfId="671" xr:uid="{00000000-0005-0000-0000-0000AF020000}"/>
    <cellStyle name="Pagina 2" xfId="672" xr:uid="{00000000-0005-0000-0000-0000B0020000}"/>
    <cellStyle name="Pagina 3" xfId="673" xr:uid="{00000000-0005-0000-0000-0000B1020000}"/>
    <cellStyle name="Pagina 4" xfId="674" xr:uid="{00000000-0005-0000-0000-0000B2020000}"/>
    <cellStyle name="Percent [0]" xfId="675" xr:uid="{00000000-0005-0000-0000-0000B3020000}"/>
    <cellStyle name="Percent [0] 2" xfId="676" xr:uid="{00000000-0005-0000-0000-0000B4020000}"/>
    <cellStyle name="Percent [00]" xfId="677" xr:uid="{00000000-0005-0000-0000-0000B5020000}"/>
    <cellStyle name="Percent [00] 2" xfId="678" xr:uid="{00000000-0005-0000-0000-0000B6020000}"/>
    <cellStyle name="Percent [2]" xfId="679" xr:uid="{00000000-0005-0000-0000-0000B7020000}"/>
    <cellStyle name="Percent [2] 2" xfId="680" xr:uid="{00000000-0005-0000-0000-0000B8020000}"/>
    <cellStyle name="Percent_Emily" xfId="681" xr:uid="{00000000-0005-0000-0000-0000B9020000}"/>
    <cellStyle name="Porcentagem" xfId="2" builtinId="5"/>
    <cellStyle name="Porcentagem 10" xfId="682" xr:uid="{00000000-0005-0000-0000-0000BB020000}"/>
    <cellStyle name="Porcentagem 10 2" xfId="683" xr:uid="{00000000-0005-0000-0000-0000BC020000}"/>
    <cellStyle name="Porcentagem 11" xfId="684" xr:uid="{00000000-0005-0000-0000-0000BD020000}"/>
    <cellStyle name="Porcentagem 11 2" xfId="685" xr:uid="{00000000-0005-0000-0000-0000BE020000}"/>
    <cellStyle name="Porcentagem 12" xfId="686" xr:uid="{00000000-0005-0000-0000-0000BF020000}"/>
    <cellStyle name="Porcentagem 12 2" xfId="687" xr:uid="{00000000-0005-0000-0000-0000C0020000}"/>
    <cellStyle name="Porcentagem 13" xfId="688" xr:uid="{00000000-0005-0000-0000-0000C1020000}"/>
    <cellStyle name="Porcentagem 13 2" xfId="689" xr:uid="{00000000-0005-0000-0000-0000C2020000}"/>
    <cellStyle name="Porcentagem 14" xfId="690" xr:uid="{00000000-0005-0000-0000-0000C3020000}"/>
    <cellStyle name="Porcentagem 14 2" xfId="691" xr:uid="{00000000-0005-0000-0000-0000C4020000}"/>
    <cellStyle name="Porcentagem 15" xfId="692" xr:uid="{00000000-0005-0000-0000-0000C5020000}"/>
    <cellStyle name="Porcentagem 16" xfId="693" xr:uid="{00000000-0005-0000-0000-0000C6020000}"/>
    <cellStyle name="Porcentagem 17" xfId="694" xr:uid="{00000000-0005-0000-0000-0000C7020000}"/>
    <cellStyle name="Porcentagem 18" xfId="695" xr:uid="{00000000-0005-0000-0000-0000C8020000}"/>
    <cellStyle name="Porcentagem 19" xfId="696" xr:uid="{00000000-0005-0000-0000-0000C9020000}"/>
    <cellStyle name="Porcentagem 2" xfId="5" xr:uid="{00000000-0005-0000-0000-0000CA020000}"/>
    <cellStyle name="Porcentagem 2 2" xfId="697" xr:uid="{00000000-0005-0000-0000-0000CB020000}"/>
    <cellStyle name="Porcentagem 2 3" xfId="698" xr:uid="{00000000-0005-0000-0000-0000CC020000}"/>
    <cellStyle name="Porcentagem 2 3 2" xfId="699" xr:uid="{00000000-0005-0000-0000-0000CD020000}"/>
    <cellStyle name="Porcentagem 20" xfId="700" xr:uid="{00000000-0005-0000-0000-0000CE020000}"/>
    <cellStyle name="Porcentagem 21" xfId="701" xr:uid="{00000000-0005-0000-0000-0000CF020000}"/>
    <cellStyle name="Porcentagem 22" xfId="702" xr:uid="{00000000-0005-0000-0000-0000D0020000}"/>
    <cellStyle name="Porcentagem 23" xfId="703" xr:uid="{00000000-0005-0000-0000-0000D1020000}"/>
    <cellStyle name="Porcentagem 24" xfId="704" xr:uid="{00000000-0005-0000-0000-0000D2020000}"/>
    <cellStyle name="Porcentagem 25" xfId="705" xr:uid="{00000000-0005-0000-0000-0000D3020000}"/>
    <cellStyle name="Porcentagem 26" xfId="706" xr:uid="{00000000-0005-0000-0000-0000D4020000}"/>
    <cellStyle name="Porcentagem 27" xfId="707" xr:uid="{00000000-0005-0000-0000-0000D5020000}"/>
    <cellStyle name="Porcentagem 28" xfId="972" xr:uid="{00000000-0005-0000-0000-0000D6020000}"/>
    <cellStyle name="Porcentagem 29" xfId="973" xr:uid="{00000000-0005-0000-0000-0000D7020000}"/>
    <cellStyle name="Porcentagem 3" xfId="708" xr:uid="{00000000-0005-0000-0000-0000D8020000}"/>
    <cellStyle name="Porcentagem 3 2" xfId="709" xr:uid="{00000000-0005-0000-0000-0000D9020000}"/>
    <cellStyle name="Porcentagem 3 3" xfId="710" xr:uid="{00000000-0005-0000-0000-0000DA020000}"/>
    <cellStyle name="Porcentagem 3 4" xfId="711" xr:uid="{00000000-0005-0000-0000-0000DB020000}"/>
    <cellStyle name="Porcentagem 30" xfId="974" xr:uid="{00000000-0005-0000-0000-0000DC020000}"/>
    <cellStyle name="Porcentagem 31" xfId="975" xr:uid="{00000000-0005-0000-0000-0000DD020000}"/>
    <cellStyle name="Porcentagem 32" xfId="976" xr:uid="{00000000-0005-0000-0000-0000DE020000}"/>
    <cellStyle name="Porcentagem 4" xfId="712" xr:uid="{00000000-0005-0000-0000-0000DF020000}"/>
    <cellStyle name="Porcentagem 4 2" xfId="713" xr:uid="{00000000-0005-0000-0000-0000E0020000}"/>
    <cellStyle name="Porcentagem 4 3" xfId="714" xr:uid="{00000000-0005-0000-0000-0000E1020000}"/>
    <cellStyle name="Porcentagem 4 4" xfId="715" xr:uid="{00000000-0005-0000-0000-0000E2020000}"/>
    <cellStyle name="Porcentagem 5" xfId="716" xr:uid="{00000000-0005-0000-0000-0000E3020000}"/>
    <cellStyle name="Porcentagem 5 2" xfId="717" xr:uid="{00000000-0005-0000-0000-0000E4020000}"/>
    <cellStyle name="Porcentagem 5 3" xfId="718" xr:uid="{00000000-0005-0000-0000-0000E5020000}"/>
    <cellStyle name="Porcentagem 5 4" xfId="719" xr:uid="{00000000-0005-0000-0000-0000E6020000}"/>
    <cellStyle name="Porcentagem 6" xfId="720" xr:uid="{00000000-0005-0000-0000-0000E7020000}"/>
    <cellStyle name="Porcentagem 7" xfId="721" xr:uid="{00000000-0005-0000-0000-0000E8020000}"/>
    <cellStyle name="Porcentagem 7 2" xfId="722" xr:uid="{00000000-0005-0000-0000-0000E9020000}"/>
    <cellStyle name="Porcentagem 7 2 2" xfId="723" xr:uid="{00000000-0005-0000-0000-0000EA020000}"/>
    <cellStyle name="Porcentagem 7 2 2 2" xfId="724" xr:uid="{00000000-0005-0000-0000-0000EB020000}"/>
    <cellStyle name="Porcentagem 7 2 3" xfId="725" xr:uid="{00000000-0005-0000-0000-0000EC020000}"/>
    <cellStyle name="Porcentagem 7 3" xfId="726" xr:uid="{00000000-0005-0000-0000-0000ED020000}"/>
    <cellStyle name="Porcentagem 7 3 2" xfId="727" xr:uid="{00000000-0005-0000-0000-0000EE020000}"/>
    <cellStyle name="Porcentagem 7 3 2 2" xfId="728" xr:uid="{00000000-0005-0000-0000-0000EF020000}"/>
    <cellStyle name="Porcentagem 7 3 3" xfId="729" xr:uid="{00000000-0005-0000-0000-0000F0020000}"/>
    <cellStyle name="Porcentagem 7 4" xfId="730" xr:uid="{00000000-0005-0000-0000-0000F1020000}"/>
    <cellStyle name="Porcentagem 7 4 2" xfId="731" xr:uid="{00000000-0005-0000-0000-0000F2020000}"/>
    <cellStyle name="Porcentagem 7 4 2 2" xfId="732" xr:uid="{00000000-0005-0000-0000-0000F3020000}"/>
    <cellStyle name="Porcentagem 7 4 3" xfId="733" xr:uid="{00000000-0005-0000-0000-0000F4020000}"/>
    <cellStyle name="Porcentagem 7 5" xfId="734" xr:uid="{00000000-0005-0000-0000-0000F5020000}"/>
    <cellStyle name="Porcentagem 7 5 2" xfId="735" xr:uid="{00000000-0005-0000-0000-0000F6020000}"/>
    <cellStyle name="Porcentagem 7 6" xfId="736" xr:uid="{00000000-0005-0000-0000-0000F7020000}"/>
    <cellStyle name="Porcentagem 8" xfId="737" xr:uid="{00000000-0005-0000-0000-0000F8020000}"/>
    <cellStyle name="Porcentagem 8 2" xfId="738" xr:uid="{00000000-0005-0000-0000-0000F9020000}"/>
    <cellStyle name="Porcentagem 8 2 2" xfId="739" xr:uid="{00000000-0005-0000-0000-0000FA020000}"/>
    <cellStyle name="Porcentagem 8 2 2 2" xfId="740" xr:uid="{00000000-0005-0000-0000-0000FB020000}"/>
    <cellStyle name="Porcentagem 8 2 3" xfId="741" xr:uid="{00000000-0005-0000-0000-0000FC020000}"/>
    <cellStyle name="Porcentagem 8 3" xfId="742" xr:uid="{00000000-0005-0000-0000-0000FD020000}"/>
    <cellStyle name="Porcentagem 8 3 2" xfId="743" xr:uid="{00000000-0005-0000-0000-0000FE020000}"/>
    <cellStyle name="Porcentagem 8 3 2 2" xfId="744" xr:uid="{00000000-0005-0000-0000-0000FF020000}"/>
    <cellStyle name="Porcentagem 8 3 3" xfId="745" xr:uid="{00000000-0005-0000-0000-000000030000}"/>
    <cellStyle name="Porcentagem 8 4" xfId="746" xr:uid="{00000000-0005-0000-0000-000001030000}"/>
    <cellStyle name="Porcentagem 8 4 2" xfId="747" xr:uid="{00000000-0005-0000-0000-000002030000}"/>
    <cellStyle name="Porcentagem 8 4 2 2" xfId="748" xr:uid="{00000000-0005-0000-0000-000003030000}"/>
    <cellStyle name="Porcentagem 8 4 3" xfId="749" xr:uid="{00000000-0005-0000-0000-000004030000}"/>
    <cellStyle name="Porcentagem 8 5" xfId="750" xr:uid="{00000000-0005-0000-0000-000005030000}"/>
    <cellStyle name="Porcentagem 8 5 2" xfId="751" xr:uid="{00000000-0005-0000-0000-000006030000}"/>
    <cellStyle name="Porcentagem 8 6" xfId="752" xr:uid="{00000000-0005-0000-0000-000007030000}"/>
    <cellStyle name="Porcentagem 8 6 2" xfId="753" xr:uid="{00000000-0005-0000-0000-000008030000}"/>
    <cellStyle name="Porcentagem 8 6 2 2" xfId="754" xr:uid="{00000000-0005-0000-0000-000009030000}"/>
    <cellStyle name="Porcentagem 8 6 3" xfId="755" xr:uid="{00000000-0005-0000-0000-00000A030000}"/>
    <cellStyle name="Porcentagem 8 7" xfId="756" xr:uid="{00000000-0005-0000-0000-00000B030000}"/>
    <cellStyle name="Porcentagem 9" xfId="757" xr:uid="{00000000-0005-0000-0000-00000C030000}"/>
    <cellStyle name="Porcentagem%" xfId="758" xr:uid="{00000000-0005-0000-0000-00000D030000}"/>
    <cellStyle name="Porcentaje" xfId="759" xr:uid="{00000000-0005-0000-0000-00000E030000}"/>
    <cellStyle name="PrePop Currency (0)" xfId="760" xr:uid="{00000000-0005-0000-0000-00000F030000}"/>
    <cellStyle name="PrePop Currency (0) 2" xfId="761" xr:uid="{00000000-0005-0000-0000-000010030000}"/>
    <cellStyle name="PrePop Currency (2)" xfId="762" xr:uid="{00000000-0005-0000-0000-000011030000}"/>
    <cellStyle name="PrePop Currency (2) 2" xfId="763" xr:uid="{00000000-0005-0000-0000-000012030000}"/>
    <cellStyle name="PrePop Units (0)" xfId="764" xr:uid="{00000000-0005-0000-0000-000013030000}"/>
    <cellStyle name="PrePop Units (0) 2" xfId="765" xr:uid="{00000000-0005-0000-0000-000014030000}"/>
    <cellStyle name="PrePop Units (1)" xfId="766" xr:uid="{00000000-0005-0000-0000-000015030000}"/>
    <cellStyle name="PrePop Units (1) 2" xfId="767" xr:uid="{00000000-0005-0000-0000-000016030000}"/>
    <cellStyle name="PrePop Units (2)" xfId="768" xr:uid="{00000000-0005-0000-0000-000017030000}"/>
    <cellStyle name="PrePop Units (2) 2" xfId="769" xr:uid="{00000000-0005-0000-0000-000018030000}"/>
    <cellStyle name="RevList" xfId="770" xr:uid="{00000000-0005-0000-0000-000019030000}"/>
    <cellStyle name="RevList 2" xfId="771" xr:uid="{00000000-0005-0000-0000-00001A030000}"/>
    <cellStyle name="RM" xfId="772" xr:uid="{00000000-0005-0000-0000-00001B030000}"/>
    <cellStyle name="rodape" xfId="773" xr:uid="{00000000-0005-0000-0000-00001C030000}"/>
    <cellStyle name="Saída 2" xfId="774" xr:uid="{00000000-0005-0000-0000-00001D030000}"/>
    <cellStyle name="Saída 2 2" xfId="775" xr:uid="{00000000-0005-0000-0000-00001E030000}"/>
    <cellStyle name="Saída 3" xfId="776" xr:uid="{00000000-0005-0000-0000-00001F030000}"/>
    <cellStyle name="Saída 3 2" xfId="777" xr:uid="{00000000-0005-0000-0000-000020030000}"/>
    <cellStyle name="Saída 4" xfId="778" xr:uid="{00000000-0005-0000-0000-000021030000}"/>
    <cellStyle name="Saída 4 2" xfId="779" xr:uid="{00000000-0005-0000-0000-000022030000}"/>
    <cellStyle name="Sep. milhar [0]" xfId="780" xr:uid="{00000000-0005-0000-0000-000023030000}"/>
    <cellStyle name="Sep. milhar [0] 2" xfId="781" xr:uid="{00000000-0005-0000-0000-000024030000}"/>
    <cellStyle name="Separador de m" xfId="782" xr:uid="{00000000-0005-0000-0000-000025030000}"/>
    <cellStyle name="Separador de milhares 10" xfId="783" xr:uid="{00000000-0005-0000-0000-000026030000}"/>
    <cellStyle name="Separador de milhares 10 2" xfId="784" xr:uid="{00000000-0005-0000-0000-000027030000}"/>
    <cellStyle name="Separador de milhares 10 2 2" xfId="993" xr:uid="{00000000-0005-0000-0000-000028030000}"/>
    <cellStyle name="Separador de milhares 10 3" xfId="992" xr:uid="{00000000-0005-0000-0000-000029030000}"/>
    <cellStyle name="Separador de milhares 11" xfId="785" xr:uid="{00000000-0005-0000-0000-00002A030000}"/>
    <cellStyle name="Separador de milhares 11 2" xfId="786" xr:uid="{00000000-0005-0000-0000-00002B030000}"/>
    <cellStyle name="Separador de milhares 11 2 2" xfId="995" xr:uid="{00000000-0005-0000-0000-00002C030000}"/>
    <cellStyle name="Separador de milhares 11 3" xfId="994" xr:uid="{00000000-0005-0000-0000-00002D030000}"/>
    <cellStyle name="Separador de milhares 12" xfId="787" xr:uid="{00000000-0005-0000-0000-00002E030000}"/>
    <cellStyle name="Separador de milhares 12 2" xfId="788" xr:uid="{00000000-0005-0000-0000-00002F030000}"/>
    <cellStyle name="Separador de milhares 12 2 2" xfId="997" xr:uid="{00000000-0005-0000-0000-000030030000}"/>
    <cellStyle name="Separador de milhares 12 3" xfId="996" xr:uid="{00000000-0005-0000-0000-000031030000}"/>
    <cellStyle name="Separador de milhares 13" xfId="789" xr:uid="{00000000-0005-0000-0000-000032030000}"/>
    <cellStyle name="Separador de milhares 13 2" xfId="790" xr:uid="{00000000-0005-0000-0000-000033030000}"/>
    <cellStyle name="Separador de milhares 13 2 2" xfId="999" xr:uid="{00000000-0005-0000-0000-000034030000}"/>
    <cellStyle name="Separador de milhares 13 3" xfId="998" xr:uid="{00000000-0005-0000-0000-000035030000}"/>
    <cellStyle name="Separador de milhares 14" xfId="791" xr:uid="{00000000-0005-0000-0000-000036030000}"/>
    <cellStyle name="Separador de milhares 14 2" xfId="792" xr:uid="{00000000-0005-0000-0000-000037030000}"/>
    <cellStyle name="Separador de milhares 14 2 2" xfId="1001" xr:uid="{00000000-0005-0000-0000-000038030000}"/>
    <cellStyle name="Separador de milhares 14 3" xfId="1000" xr:uid="{00000000-0005-0000-0000-000039030000}"/>
    <cellStyle name="Separador de milhares 15" xfId="793" xr:uid="{00000000-0005-0000-0000-00003A030000}"/>
    <cellStyle name="Separador de milhares 15 2" xfId="794" xr:uid="{00000000-0005-0000-0000-00003B030000}"/>
    <cellStyle name="Separador de milhares 15 2 2" xfId="1003" xr:uid="{00000000-0005-0000-0000-00003C030000}"/>
    <cellStyle name="Separador de milhares 15 3" xfId="1002" xr:uid="{00000000-0005-0000-0000-00003D030000}"/>
    <cellStyle name="Separador de milhares 16" xfId="795" xr:uid="{00000000-0005-0000-0000-00003E030000}"/>
    <cellStyle name="Separador de milhares 16 2" xfId="1004" xr:uid="{00000000-0005-0000-0000-00003F030000}"/>
    <cellStyle name="Separador de milhares 17" xfId="796" xr:uid="{00000000-0005-0000-0000-000040030000}"/>
    <cellStyle name="Separador de milhares 17 2" xfId="1005" xr:uid="{00000000-0005-0000-0000-000041030000}"/>
    <cellStyle name="Separador de milhares 18" xfId="797" xr:uid="{00000000-0005-0000-0000-000042030000}"/>
    <cellStyle name="Separador de milhares 18 2" xfId="1006" xr:uid="{00000000-0005-0000-0000-000043030000}"/>
    <cellStyle name="Separador de milhares 19" xfId="798" xr:uid="{00000000-0005-0000-0000-000044030000}"/>
    <cellStyle name="Separador de milhares 19 2" xfId="1007" xr:uid="{00000000-0005-0000-0000-000045030000}"/>
    <cellStyle name="Separador de milhares 2" xfId="4" xr:uid="{00000000-0005-0000-0000-000046030000}"/>
    <cellStyle name="Separador de milhares 2 2" xfId="799" xr:uid="{00000000-0005-0000-0000-000047030000}"/>
    <cellStyle name="Separador de milhares 2 3" xfId="800" xr:uid="{00000000-0005-0000-0000-000048030000}"/>
    <cellStyle name="Separador de milhares 2 3 2" xfId="801" xr:uid="{00000000-0005-0000-0000-000049030000}"/>
    <cellStyle name="Separador de milhares 2 3 2 2" xfId="1009" xr:uid="{00000000-0005-0000-0000-00004A030000}"/>
    <cellStyle name="Separador de milhares 2 3 3" xfId="1008" xr:uid="{00000000-0005-0000-0000-00004B030000}"/>
    <cellStyle name="Separador de milhares 2 4" xfId="989" xr:uid="{00000000-0005-0000-0000-00004C030000}"/>
    <cellStyle name="Separador de milhares 3" xfId="802" xr:uid="{00000000-0005-0000-0000-00004D030000}"/>
    <cellStyle name="Separador de milhares 3 2" xfId="803" xr:uid="{00000000-0005-0000-0000-00004E030000}"/>
    <cellStyle name="Separador de milhares 3 2 2" xfId="1011" xr:uid="{00000000-0005-0000-0000-00004F030000}"/>
    <cellStyle name="Separador de milhares 3 3" xfId="804" xr:uid="{00000000-0005-0000-0000-000050030000}"/>
    <cellStyle name="Separador de milhares 3 3 2" xfId="1012" xr:uid="{00000000-0005-0000-0000-000051030000}"/>
    <cellStyle name="Separador de milhares 3 4" xfId="805" xr:uid="{00000000-0005-0000-0000-000052030000}"/>
    <cellStyle name="Separador de milhares 3 4 2" xfId="1013" xr:uid="{00000000-0005-0000-0000-000053030000}"/>
    <cellStyle name="Separador de milhares 3 5" xfId="1010" xr:uid="{00000000-0005-0000-0000-000054030000}"/>
    <cellStyle name="Separador de milhares 4" xfId="7" xr:uid="{00000000-0005-0000-0000-000055030000}"/>
    <cellStyle name="Separador de milhares 4 2" xfId="806" xr:uid="{00000000-0005-0000-0000-000056030000}"/>
    <cellStyle name="Separador de milhares 4 2 2" xfId="807" xr:uid="{00000000-0005-0000-0000-000057030000}"/>
    <cellStyle name="Separador de milhares 4 2 2 2" xfId="1015" xr:uid="{00000000-0005-0000-0000-000058030000}"/>
    <cellStyle name="Separador de milhares 4 2 3" xfId="1014" xr:uid="{00000000-0005-0000-0000-000059030000}"/>
    <cellStyle name="Separador de milhares 4 3" xfId="990" xr:uid="{00000000-0005-0000-0000-00005A030000}"/>
    <cellStyle name="Separador de milhares 5" xfId="808" xr:uid="{00000000-0005-0000-0000-00005B030000}"/>
    <cellStyle name="Separador de milhares 5 2" xfId="809" xr:uid="{00000000-0005-0000-0000-00005C030000}"/>
    <cellStyle name="Separador de milhares 5 2 2" xfId="810" xr:uid="{00000000-0005-0000-0000-00005D030000}"/>
    <cellStyle name="Separador de milhares 5 2 2 2" xfId="811" xr:uid="{00000000-0005-0000-0000-00005E030000}"/>
    <cellStyle name="Separador de milhares 5 2 2 2 2" xfId="1019" xr:uid="{00000000-0005-0000-0000-00005F030000}"/>
    <cellStyle name="Separador de milhares 5 2 2 3" xfId="1018" xr:uid="{00000000-0005-0000-0000-000060030000}"/>
    <cellStyle name="Separador de milhares 5 2 3" xfId="812" xr:uid="{00000000-0005-0000-0000-000061030000}"/>
    <cellStyle name="Separador de milhares 5 2 3 2" xfId="1020" xr:uid="{00000000-0005-0000-0000-000062030000}"/>
    <cellStyle name="Separador de milhares 5 2 4" xfId="1017" xr:uid="{00000000-0005-0000-0000-000063030000}"/>
    <cellStyle name="Separador de milhares 5 3" xfId="813" xr:uid="{00000000-0005-0000-0000-000064030000}"/>
    <cellStyle name="Separador de milhares 5 3 2" xfId="814" xr:uid="{00000000-0005-0000-0000-000065030000}"/>
    <cellStyle name="Separador de milhares 5 3 2 2" xfId="815" xr:uid="{00000000-0005-0000-0000-000066030000}"/>
    <cellStyle name="Separador de milhares 5 3 2 2 2" xfId="1023" xr:uid="{00000000-0005-0000-0000-000067030000}"/>
    <cellStyle name="Separador de milhares 5 3 2 3" xfId="1022" xr:uid="{00000000-0005-0000-0000-000068030000}"/>
    <cellStyle name="Separador de milhares 5 3 3" xfId="816" xr:uid="{00000000-0005-0000-0000-000069030000}"/>
    <cellStyle name="Separador de milhares 5 3 3 2" xfId="1024" xr:uid="{00000000-0005-0000-0000-00006A030000}"/>
    <cellStyle name="Separador de milhares 5 3 4" xfId="1021" xr:uid="{00000000-0005-0000-0000-00006B030000}"/>
    <cellStyle name="Separador de milhares 5 4" xfId="817" xr:uid="{00000000-0005-0000-0000-00006C030000}"/>
    <cellStyle name="Separador de milhares 5 4 2" xfId="818" xr:uid="{00000000-0005-0000-0000-00006D030000}"/>
    <cellStyle name="Separador de milhares 5 4 2 2" xfId="819" xr:uid="{00000000-0005-0000-0000-00006E030000}"/>
    <cellStyle name="Separador de milhares 5 4 2 2 2" xfId="1027" xr:uid="{00000000-0005-0000-0000-00006F030000}"/>
    <cellStyle name="Separador de milhares 5 4 2 3" xfId="1026" xr:uid="{00000000-0005-0000-0000-000070030000}"/>
    <cellStyle name="Separador de milhares 5 4 3" xfId="820" xr:uid="{00000000-0005-0000-0000-000071030000}"/>
    <cellStyle name="Separador de milhares 5 4 3 2" xfId="1028" xr:uid="{00000000-0005-0000-0000-000072030000}"/>
    <cellStyle name="Separador de milhares 5 4 4" xfId="1025" xr:uid="{00000000-0005-0000-0000-000073030000}"/>
    <cellStyle name="Separador de milhares 5 5" xfId="821" xr:uid="{00000000-0005-0000-0000-000074030000}"/>
    <cellStyle name="Separador de milhares 5 5 2" xfId="822" xr:uid="{00000000-0005-0000-0000-000075030000}"/>
    <cellStyle name="Separador de milhares 5 5 2 2" xfId="1030" xr:uid="{00000000-0005-0000-0000-000076030000}"/>
    <cellStyle name="Separador de milhares 5 5 3" xfId="1029" xr:uid="{00000000-0005-0000-0000-000077030000}"/>
    <cellStyle name="Separador de milhares 5 6" xfId="823" xr:uid="{00000000-0005-0000-0000-000078030000}"/>
    <cellStyle name="Separador de milhares 5 6 2" xfId="1031" xr:uid="{00000000-0005-0000-0000-000079030000}"/>
    <cellStyle name="Separador de milhares 5 7" xfId="1016" xr:uid="{00000000-0005-0000-0000-00007A030000}"/>
    <cellStyle name="Separador de milhares 6" xfId="824" xr:uid="{00000000-0005-0000-0000-00007B030000}"/>
    <cellStyle name="Separador de milhares 6 2" xfId="825" xr:uid="{00000000-0005-0000-0000-00007C030000}"/>
    <cellStyle name="Separador de milhares 6 2 2" xfId="826" xr:uid="{00000000-0005-0000-0000-00007D030000}"/>
    <cellStyle name="Separador de milhares 6 2 2 2" xfId="827" xr:uid="{00000000-0005-0000-0000-00007E030000}"/>
    <cellStyle name="Separador de milhares 6 2 2 2 2" xfId="1035" xr:uid="{00000000-0005-0000-0000-00007F030000}"/>
    <cellStyle name="Separador de milhares 6 2 2 3" xfId="1034" xr:uid="{00000000-0005-0000-0000-000080030000}"/>
    <cellStyle name="Separador de milhares 6 2 3" xfId="828" xr:uid="{00000000-0005-0000-0000-000081030000}"/>
    <cellStyle name="Separador de milhares 6 2 3 2" xfId="1036" xr:uid="{00000000-0005-0000-0000-000082030000}"/>
    <cellStyle name="Separador de milhares 6 2 4" xfId="1033" xr:uid="{00000000-0005-0000-0000-000083030000}"/>
    <cellStyle name="Separador de milhares 6 3" xfId="829" xr:uid="{00000000-0005-0000-0000-000084030000}"/>
    <cellStyle name="Separador de milhares 6 3 2" xfId="830" xr:uid="{00000000-0005-0000-0000-000085030000}"/>
    <cellStyle name="Separador de milhares 6 3 2 2" xfId="831" xr:uid="{00000000-0005-0000-0000-000086030000}"/>
    <cellStyle name="Separador de milhares 6 3 2 2 2" xfId="1039" xr:uid="{00000000-0005-0000-0000-000087030000}"/>
    <cellStyle name="Separador de milhares 6 3 2 3" xfId="1038" xr:uid="{00000000-0005-0000-0000-000088030000}"/>
    <cellStyle name="Separador de milhares 6 3 3" xfId="832" xr:uid="{00000000-0005-0000-0000-000089030000}"/>
    <cellStyle name="Separador de milhares 6 3 3 2" xfId="1040" xr:uid="{00000000-0005-0000-0000-00008A030000}"/>
    <cellStyle name="Separador de milhares 6 3 4" xfId="1037" xr:uid="{00000000-0005-0000-0000-00008B030000}"/>
    <cellStyle name="Separador de milhares 6 4" xfId="833" xr:uid="{00000000-0005-0000-0000-00008C030000}"/>
    <cellStyle name="Separador de milhares 6 4 2" xfId="834" xr:uid="{00000000-0005-0000-0000-00008D030000}"/>
    <cellStyle name="Separador de milhares 6 4 2 2" xfId="835" xr:uid="{00000000-0005-0000-0000-00008E030000}"/>
    <cellStyle name="Separador de milhares 6 4 2 2 2" xfId="1043" xr:uid="{00000000-0005-0000-0000-00008F030000}"/>
    <cellStyle name="Separador de milhares 6 4 2 3" xfId="1042" xr:uid="{00000000-0005-0000-0000-000090030000}"/>
    <cellStyle name="Separador de milhares 6 4 3" xfId="836" xr:uid="{00000000-0005-0000-0000-000091030000}"/>
    <cellStyle name="Separador de milhares 6 4 3 2" xfId="1044" xr:uid="{00000000-0005-0000-0000-000092030000}"/>
    <cellStyle name="Separador de milhares 6 4 4" xfId="1041" xr:uid="{00000000-0005-0000-0000-000093030000}"/>
    <cellStyle name="Separador de milhares 6 5" xfId="837" xr:uid="{00000000-0005-0000-0000-000094030000}"/>
    <cellStyle name="Separador de milhares 6 5 2" xfId="838" xr:uid="{00000000-0005-0000-0000-000095030000}"/>
    <cellStyle name="Separador de milhares 6 5 2 2" xfId="1046" xr:uid="{00000000-0005-0000-0000-000096030000}"/>
    <cellStyle name="Separador de milhares 6 5 3" xfId="1045" xr:uid="{00000000-0005-0000-0000-000097030000}"/>
    <cellStyle name="Separador de milhares 6 6" xfId="839" xr:uid="{00000000-0005-0000-0000-000098030000}"/>
    <cellStyle name="Separador de milhares 6 6 2" xfId="840" xr:uid="{00000000-0005-0000-0000-000099030000}"/>
    <cellStyle name="Separador de milhares 6 6 2 2" xfId="1048" xr:uid="{00000000-0005-0000-0000-00009A030000}"/>
    <cellStyle name="Separador de milhares 6 6 3" xfId="1047" xr:uid="{00000000-0005-0000-0000-00009B030000}"/>
    <cellStyle name="Separador de milhares 6 7" xfId="841" xr:uid="{00000000-0005-0000-0000-00009C030000}"/>
    <cellStyle name="Separador de milhares 6 7 2" xfId="1049" xr:uid="{00000000-0005-0000-0000-00009D030000}"/>
    <cellStyle name="Separador de milhares 6 8" xfId="1032" xr:uid="{00000000-0005-0000-0000-00009E030000}"/>
    <cellStyle name="Separador de milhares 7" xfId="842" xr:uid="{00000000-0005-0000-0000-00009F030000}"/>
    <cellStyle name="Separador de milhares 7 2" xfId="843" xr:uid="{00000000-0005-0000-0000-0000A0030000}"/>
    <cellStyle name="Separador de milhares 7 2 2" xfId="844" xr:uid="{00000000-0005-0000-0000-0000A1030000}"/>
    <cellStyle name="Separador de milhares 7 2 2 2" xfId="845" xr:uid="{00000000-0005-0000-0000-0000A2030000}"/>
    <cellStyle name="Separador de milhares 7 2 2 2 2" xfId="1053" xr:uid="{00000000-0005-0000-0000-0000A3030000}"/>
    <cellStyle name="Separador de milhares 7 2 2 3" xfId="1052" xr:uid="{00000000-0005-0000-0000-0000A4030000}"/>
    <cellStyle name="Separador de milhares 7 2 3" xfId="846" xr:uid="{00000000-0005-0000-0000-0000A5030000}"/>
    <cellStyle name="Separador de milhares 7 2 3 2" xfId="1054" xr:uid="{00000000-0005-0000-0000-0000A6030000}"/>
    <cellStyle name="Separador de milhares 7 2 4" xfId="1051" xr:uid="{00000000-0005-0000-0000-0000A7030000}"/>
    <cellStyle name="Separador de milhares 7 3" xfId="847" xr:uid="{00000000-0005-0000-0000-0000A8030000}"/>
    <cellStyle name="Separador de milhares 7 3 2" xfId="848" xr:uid="{00000000-0005-0000-0000-0000A9030000}"/>
    <cellStyle name="Separador de milhares 7 3 2 2" xfId="849" xr:uid="{00000000-0005-0000-0000-0000AA030000}"/>
    <cellStyle name="Separador de milhares 7 3 2 2 2" xfId="1057" xr:uid="{00000000-0005-0000-0000-0000AB030000}"/>
    <cellStyle name="Separador de milhares 7 3 2 3" xfId="1056" xr:uid="{00000000-0005-0000-0000-0000AC030000}"/>
    <cellStyle name="Separador de milhares 7 3 3" xfId="850" xr:uid="{00000000-0005-0000-0000-0000AD030000}"/>
    <cellStyle name="Separador de milhares 7 3 3 2" xfId="1058" xr:uid="{00000000-0005-0000-0000-0000AE030000}"/>
    <cellStyle name="Separador de milhares 7 3 4" xfId="1055" xr:uid="{00000000-0005-0000-0000-0000AF030000}"/>
    <cellStyle name="Separador de milhares 7 4" xfId="851" xr:uid="{00000000-0005-0000-0000-0000B0030000}"/>
    <cellStyle name="Separador de milhares 7 4 2" xfId="852" xr:uid="{00000000-0005-0000-0000-0000B1030000}"/>
    <cellStyle name="Separador de milhares 7 4 2 2" xfId="853" xr:uid="{00000000-0005-0000-0000-0000B2030000}"/>
    <cellStyle name="Separador de milhares 7 4 2 2 2" xfId="1061" xr:uid="{00000000-0005-0000-0000-0000B3030000}"/>
    <cellStyle name="Separador de milhares 7 4 2 3" xfId="1060" xr:uid="{00000000-0005-0000-0000-0000B4030000}"/>
    <cellStyle name="Separador de milhares 7 4 3" xfId="854" xr:uid="{00000000-0005-0000-0000-0000B5030000}"/>
    <cellStyle name="Separador de milhares 7 4 3 2" xfId="1062" xr:uid="{00000000-0005-0000-0000-0000B6030000}"/>
    <cellStyle name="Separador de milhares 7 4 4" xfId="1059" xr:uid="{00000000-0005-0000-0000-0000B7030000}"/>
    <cellStyle name="Separador de milhares 7 5" xfId="855" xr:uid="{00000000-0005-0000-0000-0000B8030000}"/>
    <cellStyle name="Separador de milhares 7 5 2" xfId="856" xr:uid="{00000000-0005-0000-0000-0000B9030000}"/>
    <cellStyle name="Separador de milhares 7 5 2 2" xfId="1064" xr:uid="{00000000-0005-0000-0000-0000BA030000}"/>
    <cellStyle name="Separador de milhares 7 5 3" xfId="1063" xr:uid="{00000000-0005-0000-0000-0000BB030000}"/>
    <cellStyle name="Separador de milhares 7 6" xfId="857" xr:uid="{00000000-0005-0000-0000-0000BC030000}"/>
    <cellStyle name="Separador de milhares 7 6 2" xfId="1065" xr:uid="{00000000-0005-0000-0000-0000BD030000}"/>
    <cellStyle name="Separador de milhares 7 7" xfId="1050" xr:uid="{00000000-0005-0000-0000-0000BE030000}"/>
    <cellStyle name="Separador de milhares 8" xfId="858" xr:uid="{00000000-0005-0000-0000-0000BF030000}"/>
    <cellStyle name="Separador de milhares 8 2" xfId="859" xr:uid="{00000000-0005-0000-0000-0000C0030000}"/>
    <cellStyle name="Separador de milhares 8 2 2" xfId="860" xr:uid="{00000000-0005-0000-0000-0000C1030000}"/>
    <cellStyle name="Separador de milhares 8 2 2 2" xfId="861" xr:uid="{00000000-0005-0000-0000-0000C2030000}"/>
    <cellStyle name="Separador de milhares 8 2 2 2 2" xfId="1069" xr:uid="{00000000-0005-0000-0000-0000C3030000}"/>
    <cellStyle name="Separador de milhares 8 2 2 3" xfId="1068" xr:uid="{00000000-0005-0000-0000-0000C4030000}"/>
    <cellStyle name="Separador de milhares 8 2 3" xfId="862" xr:uid="{00000000-0005-0000-0000-0000C5030000}"/>
    <cellStyle name="Separador de milhares 8 2 3 2" xfId="1070" xr:uid="{00000000-0005-0000-0000-0000C6030000}"/>
    <cellStyle name="Separador de milhares 8 2 4" xfId="1067" xr:uid="{00000000-0005-0000-0000-0000C7030000}"/>
    <cellStyle name="Separador de milhares 8 3" xfId="1066" xr:uid="{00000000-0005-0000-0000-0000C8030000}"/>
    <cellStyle name="Separador de milhares 9" xfId="863" xr:uid="{00000000-0005-0000-0000-0000C9030000}"/>
    <cellStyle name="Separador de milhares 9 2" xfId="864" xr:uid="{00000000-0005-0000-0000-0000CA030000}"/>
    <cellStyle name="Separador de milhares 9 2 2" xfId="865" xr:uid="{00000000-0005-0000-0000-0000CB030000}"/>
    <cellStyle name="Separador de milhares 9 2 2 2" xfId="1073" xr:uid="{00000000-0005-0000-0000-0000CC030000}"/>
    <cellStyle name="Separador de milhares 9 2 3" xfId="1072" xr:uid="{00000000-0005-0000-0000-0000CD030000}"/>
    <cellStyle name="Separador de milhares 9 3" xfId="866" xr:uid="{00000000-0005-0000-0000-0000CE030000}"/>
    <cellStyle name="Separador de milhares 9 3 2" xfId="1074" xr:uid="{00000000-0005-0000-0000-0000CF030000}"/>
    <cellStyle name="Separador de milhares 9 4" xfId="1071" xr:uid="{00000000-0005-0000-0000-0000D0030000}"/>
    <cellStyle name="shading" xfId="867" xr:uid="{00000000-0005-0000-0000-0000D1030000}"/>
    <cellStyle name="shading 2" xfId="868" xr:uid="{00000000-0005-0000-0000-0000D2030000}"/>
    <cellStyle name="Sheet Title" xfId="869" xr:uid="{00000000-0005-0000-0000-0000D3030000}"/>
    <cellStyle name="Sheet Title 2" xfId="870" xr:uid="{00000000-0005-0000-0000-0000D4030000}"/>
    <cellStyle name="ssubtitulo" xfId="871" xr:uid="{00000000-0005-0000-0000-0000D5030000}"/>
    <cellStyle name="Standaard_laroux" xfId="872" xr:uid="{00000000-0005-0000-0000-0000D6030000}"/>
    <cellStyle name="Standard_Germany" xfId="873" xr:uid="{00000000-0005-0000-0000-0000D7030000}"/>
    <cellStyle name="subtitulo" xfId="874" xr:uid="{00000000-0005-0000-0000-0000D8030000}"/>
    <cellStyle name="Sub-Título" xfId="875" xr:uid="{00000000-0005-0000-0000-0000D9030000}"/>
    <cellStyle name="subtitulo 2" xfId="876" xr:uid="{00000000-0005-0000-0000-0000DA030000}"/>
    <cellStyle name="subtitulo 3" xfId="877" xr:uid="{00000000-0005-0000-0000-0000DB030000}"/>
    <cellStyle name="subtitulo 4" xfId="878" xr:uid="{00000000-0005-0000-0000-0000DC030000}"/>
    <cellStyle name="subtitulo 5" xfId="879" xr:uid="{00000000-0005-0000-0000-0000DD030000}"/>
    <cellStyle name="subtitulo_Book junho-2008" xfId="880" xr:uid="{00000000-0005-0000-0000-0000DE030000}"/>
    <cellStyle name="Subtotal" xfId="881" xr:uid="{00000000-0005-0000-0000-0000DF030000}"/>
    <cellStyle name="Subtotal 2" xfId="882" xr:uid="{00000000-0005-0000-0000-0000E0030000}"/>
    <cellStyle name="Text Indent A" xfId="883" xr:uid="{00000000-0005-0000-0000-0000E1030000}"/>
    <cellStyle name="Text Indent A 2" xfId="884" xr:uid="{00000000-0005-0000-0000-0000E2030000}"/>
    <cellStyle name="Text Indent B" xfId="885" xr:uid="{00000000-0005-0000-0000-0000E3030000}"/>
    <cellStyle name="Text Indent B 2" xfId="886" xr:uid="{00000000-0005-0000-0000-0000E4030000}"/>
    <cellStyle name="Text Indent C" xfId="887" xr:uid="{00000000-0005-0000-0000-0000E5030000}"/>
    <cellStyle name="Text Indent C 2" xfId="888" xr:uid="{00000000-0005-0000-0000-0000E6030000}"/>
    <cellStyle name="Texto de Aviso 2" xfId="889" xr:uid="{00000000-0005-0000-0000-0000E7030000}"/>
    <cellStyle name="Texto de Aviso 2 2" xfId="890" xr:uid="{00000000-0005-0000-0000-0000E8030000}"/>
    <cellStyle name="Texto de Aviso 3" xfId="891" xr:uid="{00000000-0005-0000-0000-0000E9030000}"/>
    <cellStyle name="Texto de Aviso 3 2" xfId="892" xr:uid="{00000000-0005-0000-0000-0000EA030000}"/>
    <cellStyle name="Texto de Aviso 4" xfId="893" xr:uid="{00000000-0005-0000-0000-0000EB030000}"/>
    <cellStyle name="Texto de Aviso 4 2" xfId="894" xr:uid="{00000000-0005-0000-0000-0000EC030000}"/>
    <cellStyle name="Texto Explicativo 2" xfId="895" xr:uid="{00000000-0005-0000-0000-0000ED030000}"/>
    <cellStyle name="Texto Explicativo 2 2" xfId="896" xr:uid="{00000000-0005-0000-0000-0000EE030000}"/>
    <cellStyle name="Texto Explicativo 3" xfId="897" xr:uid="{00000000-0005-0000-0000-0000EF030000}"/>
    <cellStyle name="Texto Explicativo 3 2" xfId="898" xr:uid="{00000000-0005-0000-0000-0000F0030000}"/>
    <cellStyle name="Texto Explicativo 4" xfId="899" xr:uid="{00000000-0005-0000-0000-0000F1030000}"/>
    <cellStyle name="Texto Explicativo 4 2" xfId="900" xr:uid="{00000000-0005-0000-0000-0000F2030000}"/>
    <cellStyle name="titulo" xfId="901" xr:uid="{00000000-0005-0000-0000-0000F3030000}"/>
    <cellStyle name="Título 1 2" xfId="902" xr:uid="{00000000-0005-0000-0000-0000F4030000}"/>
    <cellStyle name="Título 1 2 2" xfId="903" xr:uid="{00000000-0005-0000-0000-0000F5030000}"/>
    <cellStyle name="Título 1 3" xfId="904" xr:uid="{00000000-0005-0000-0000-0000F6030000}"/>
    <cellStyle name="Título 1 3 2" xfId="905" xr:uid="{00000000-0005-0000-0000-0000F7030000}"/>
    <cellStyle name="Título 1 4" xfId="906" xr:uid="{00000000-0005-0000-0000-0000F8030000}"/>
    <cellStyle name="Título 1 4 2" xfId="907" xr:uid="{00000000-0005-0000-0000-0000F9030000}"/>
    <cellStyle name="Título 2 2" xfId="908" xr:uid="{00000000-0005-0000-0000-0000FA030000}"/>
    <cellStyle name="Título 2 2 2" xfId="909" xr:uid="{00000000-0005-0000-0000-0000FB030000}"/>
    <cellStyle name="Título 2 3" xfId="910" xr:uid="{00000000-0005-0000-0000-0000FC030000}"/>
    <cellStyle name="Título 2 3 2" xfId="911" xr:uid="{00000000-0005-0000-0000-0000FD030000}"/>
    <cellStyle name="Título 2 4" xfId="912" xr:uid="{00000000-0005-0000-0000-0000FE030000}"/>
    <cellStyle name="Título 2 4 2" xfId="913" xr:uid="{00000000-0005-0000-0000-0000FF030000}"/>
    <cellStyle name="Título 3 2" xfId="914" xr:uid="{00000000-0005-0000-0000-000000040000}"/>
    <cellStyle name="Título 3 2 2" xfId="915" xr:uid="{00000000-0005-0000-0000-000001040000}"/>
    <cellStyle name="Título 3 3" xfId="916" xr:uid="{00000000-0005-0000-0000-000002040000}"/>
    <cellStyle name="Título 3 3 2" xfId="917" xr:uid="{00000000-0005-0000-0000-000003040000}"/>
    <cellStyle name="Título 3 4" xfId="918" xr:uid="{00000000-0005-0000-0000-000004040000}"/>
    <cellStyle name="Título 3 4 2" xfId="919" xr:uid="{00000000-0005-0000-0000-000005040000}"/>
    <cellStyle name="Título 4 2" xfId="920" xr:uid="{00000000-0005-0000-0000-000006040000}"/>
    <cellStyle name="Título 4 2 2" xfId="921" xr:uid="{00000000-0005-0000-0000-000007040000}"/>
    <cellStyle name="Título 4 3" xfId="922" xr:uid="{00000000-0005-0000-0000-000008040000}"/>
    <cellStyle name="Título 4 3 2" xfId="923" xr:uid="{00000000-0005-0000-0000-000009040000}"/>
    <cellStyle name="Título 4 4" xfId="924" xr:uid="{00000000-0005-0000-0000-00000A040000}"/>
    <cellStyle name="Título 4 4 2" xfId="925" xr:uid="{00000000-0005-0000-0000-00000B040000}"/>
    <cellStyle name="Título 5" xfId="926" xr:uid="{00000000-0005-0000-0000-00000C040000}"/>
    <cellStyle name="titulomov" xfId="927" xr:uid="{00000000-0005-0000-0000-00000D040000}"/>
    <cellStyle name="Todos" xfId="928" xr:uid="{00000000-0005-0000-0000-00000E040000}"/>
    <cellStyle name="Total 2" xfId="929" xr:uid="{00000000-0005-0000-0000-00000F040000}"/>
    <cellStyle name="Total 2 2" xfId="930" xr:uid="{00000000-0005-0000-0000-000010040000}"/>
    <cellStyle name="Total 3" xfId="931" xr:uid="{00000000-0005-0000-0000-000011040000}"/>
    <cellStyle name="Total 3 2" xfId="932" xr:uid="{00000000-0005-0000-0000-000012040000}"/>
    <cellStyle name="Total 4" xfId="933" xr:uid="{00000000-0005-0000-0000-000013040000}"/>
    <cellStyle name="Total 4 2" xfId="934" xr:uid="{00000000-0005-0000-0000-000014040000}"/>
    <cellStyle name="Total 5" xfId="935" xr:uid="{00000000-0005-0000-0000-000015040000}"/>
    <cellStyle name="totalbalan" xfId="936" xr:uid="{00000000-0005-0000-0000-000016040000}"/>
    <cellStyle name="Valuta [0]_laroux" xfId="937" xr:uid="{00000000-0005-0000-0000-000017040000}"/>
    <cellStyle name="Valuta_laroux" xfId="938" xr:uid="{00000000-0005-0000-0000-000018040000}"/>
    <cellStyle name="Vírgula" xfId="1" builtinId="3"/>
    <cellStyle name="Vírgula 10" xfId="939" xr:uid="{00000000-0005-0000-0000-00001A040000}"/>
    <cellStyle name="Vírgula 10 2" xfId="1075" xr:uid="{00000000-0005-0000-0000-00001B040000}"/>
    <cellStyle name="Vírgula 11" xfId="940" xr:uid="{00000000-0005-0000-0000-00001C040000}"/>
    <cellStyle name="Vírgula 11 2" xfId="1076" xr:uid="{00000000-0005-0000-0000-00001D040000}"/>
    <cellStyle name="Vírgula 12" xfId="941" xr:uid="{00000000-0005-0000-0000-00001E040000}"/>
    <cellStyle name="Vírgula 12 2" xfId="1077" xr:uid="{00000000-0005-0000-0000-00001F040000}"/>
    <cellStyle name="Vírgula 13" xfId="977" xr:uid="{00000000-0005-0000-0000-000020040000}"/>
    <cellStyle name="Vírgula 13 2" xfId="1087" xr:uid="{00000000-0005-0000-0000-000021040000}"/>
    <cellStyle name="Vírgula 14" xfId="978" xr:uid="{00000000-0005-0000-0000-000022040000}"/>
    <cellStyle name="Vírgula 14 2" xfId="1088" xr:uid="{00000000-0005-0000-0000-000023040000}"/>
    <cellStyle name="Vírgula 15" xfId="979" xr:uid="{00000000-0005-0000-0000-000024040000}"/>
    <cellStyle name="Vírgula 15 2" xfId="1089" xr:uid="{00000000-0005-0000-0000-000025040000}"/>
    <cellStyle name="Vírgula 16" xfId="980" xr:uid="{00000000-0005-0000-0000-000026040000}"/>
    <cellStyle name="Vírgula 16 2" xfId="1090" xr:uid="{00000000-0005-0000-0000-000027040000}"/>
    <cellStyle name="Vírgula 17" xfId="981" xr:uid="{00000000-0005-0000-0000-000028040000}"/>
    <cellStyle name="Vírgula 17 2" xfId="1091" xr:uid="{00000000-0005-0000-0000-000029040000}"/>
    <cellStyle name="Vírgula 18" xfId="988" xr:uid="{00000000-0005-0000-0000-00002A040000}"/>
    <cellStyle name="Vírgula 2" xfId="942" xr:uid="{00000000-0005-0000-0000-00002B040000}"/>
    <cellStyle name="Vírgula 2 2" xfId="986" xr:uid="{00000000-0005-0000-0000-00002C040000}"/>
    <cellStyle name="Vírgula 2 2 2" xfId="1094" xr:uid="{00000000-0005-0000-0000-00002D040000}"/>
    <cellStyle name="Vírgula 2 3" xfId="1078" xr:uid="{00000000-0005-0000-0000-00002E040000}"/>
    <cellStyle name="Vírgula 3" xfId="943" xr:uid="{00000000-0005-0000-0000-00002F040000}"/>
    <cellStyle name="Vírgula 3 2" xfId="1079" xr:uid="{00000000-0005-0000-0000-000030040000}"/>
    <cellStyle name="Vírgula 4" xfId="944" xr:uid="{00000000-0005-0000-0000-000031040000}"/>
    <cellStyle name="Vírgula 4 2" xfId="1080" xr:uid="{00000000-0005-0000-0000-000032040000}"/>
    <cellStyle name="Vírgula 5" xfId="945" xr:uid="{00000000-0005-0000-0000-000033040000}"/>
    <cellStyle name="Vírgula 5 2" xfId="1081" xr:uid="{00000000-0005-0000-0000-000034040000}"/>
    <cellStyle name="Vírgula 6" xfId="946" xr:uid="{00000000-0005-0000-0000-000035040000}"/>
    <cellStyle name="Vírgula 6 2" xfId="1082" xr:uid="{00000000-0005-0000-0000-000036040000}"/>
    <cellStyle name="Vírgula 7" xfId="947" xr:uid="{00000000-0005-0000-0000-000037040000}"/>
    <cellStyle name="Vírgula 7 2" xfId="1083" xr:uid="{00000000-0005-0000-0000-000038040000}"/>
    <cellStyle name="Vírgula 8" xfId="948" xr:uid="{00000000-0005-0000-0000-000039040000}"/>
    <cellStyle name="Vírgula 8 2" xfId="1084" xr:uid="{00000000-0005-0000-0000-00003A040000}"/>
    <cellStyle name="Vírgula 9" xfId="949" xr:uid="{00000000-0005-0000-0000-00003B040000}"/>
    <cellStyle name="Vírgula 9 2" xfId="1085" xr:uid="{00000000-0005-0000-0000-00003C040000}"/>
    <cellStyle name="Währung [0]_Germany" xfId="950" xr:uid="{00000000-0005-0000-0000-00003D040000}"/>
    <cellStyle name="Währung_Germany" xfId="951" xr:uid="{00000000-0005-0000-0000-00003E040000}"/>
    <cellStyle name="Warning Text" xfId="952" xr:uid="{00000000-0005-0000-0000-00003F040000}"/>
    <cellStyle name="Warning Text 2" xfId="953" xr:uid="{00000000-0005-0000-0000-000040040000}"/>
    <cellStyle name="ZERO" xfId="954" xr:uid="{00000000-0005-0000-0000-000041040000}"/>
    <cellStyle name="zero = - [0]" xfId="955" xr:uid="{00000000-0005-0000-0000-000042040000}"/>
    <cellStyle name="ZERO = - [1]" xfId="956" xr:uid="{00000000-0005-0000-0000-000043040000}"/>
    <cellStyle name="ZERO = [-]" xfId="957" xr:uid="{00000000-0005-0000-0000-000044040000}"/>
    <cellStyle name="ZERO_R15" xfId="958" xr:uid="{00000000-0005-0000-0000-000045040000}"/>
    <cellStyle name="彡佊乒䱁弱佊乒䱁ㄸ⤱⤲吠䱁Ⱓ⌣尰㬩⡟刢∤⁜" xfId="959" xr:uid="{00000000-0005-0000-0000-000046040000}"/>
    <cellStyle name="彡佊乒䱁弱佊乒䱁ㄸ⤱⤲吠䱁Ⱓ⌣尰㬩⡟刢∤⁜ 2" xfId="960" xr:uid="{00000000-0005-0000-0000-000047040000}"/>
  </cellStyles>
  <dxfs count="0"/>
  <tableStyles count="0" defaultTableStyle="TableStyleMedium9" defaultPivotStyle="PivotStyleLight16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34</xdr:col>
      <xdr:colOff>7055</xdr:colOff>
      <xdr:row>1</xdr:row>
      <xdr:rowOff>7963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D779071-ED5E-497F-8347-5E19348A2311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8031178" cy="1176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0</xdr:rowOff>
    </xdr:from>
    <xdr:to>
      <xdr:col>8</xdr:col>
      <xdr:colOff>26651</xdr:colOff>
      <xdr:row>1</xdr:row>
      <xdr:rowOff>19050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811A2059-ED03-4257-A40A-7D0C8CC9543E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21167" y="0"/>
          <a:ext cx="7670992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56445</xdr:colOff>
      <xdr:row>0</xdr:row>
      <xdr:rowOff>1138827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D0901E61-AB16-4B95-8DAC-5F6D454D768D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9903722" cy="11388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596515</xdr:colOff>
      <xdr:row>0</xdr:row>
      <xdr:rowOff>1485900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1EFB253-3D9C-4732-8F56-491BBEFD2D10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5009091" cy="1485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as de Souza Gonçalves Vieira" id="{100A62A3-A899-4147-BFE5-341E9694FB10}" userId="S::lucasvieira@grupotechnos.com.br::fb1fe7b2-45ca-4dfd-a9e9-eacb7f85fab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3" dT="2023-10-26T13:04:09.01" personId="{100A62A3-A899-4147-BFE5-341E9694FB10}" id="{D0A00ABE-69F7-4256-BD5D-C5CDFE6C9CDE}">
    <text>RB sem AVP</text>
  </threadedComment>
  <threadedComment ref="X5" dT="2023-10-26T13:04:55.24" personId="{100A62A3-A899-4147-BFE5-341E9694FB10}" id="{C3B7A572-F3E1-42E9-A5B0-7CC98BBCAA13}">
    <text>Imposto sem AVP de imposto</text>
  </threadedComment>
  <threadedComment ref="A9" dT="2023-10-26T14:26:00.01" personId="{100A62A3-A899-4147-BFE5-341E9694FB10}" id="{F88EE2BD-79A2-41E9-8FB6-6203FD370738}">
    <text>CMV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W50"/>
  <sheetViews>
    <sheetView workbookViewId="0">
      <selection activeCell="I13" sqref="I13"/>
    </sheetView>
  </sheetViews>
  <sheetFormatPr defaultRowHeight="15"/>
  <cols>
    <col min="1" max="1" width="43.5703125" bestFit="1" customWidth="1"/>
    <col min="2" max="2" width="1.85546875" customWidth="1"/>
    <col min="3" max="3" width="14.140625" bestFit="1" customWidth="1"/>
    <col min="4" max="4" width="1.140625" customWidth="1"/>
    <col min="5" max="5" width="14.85546875" customWidth="1"/>
    <col min="6" max="6" width="5.42578125" bestFit="1" customWidth="1"/>
    <col min="7" max="7" width="13.85546875" customWidth="1"/>
    <col min="8" max="8" width="2.5703125" customWidth="1"/>
    <col min="9" max="9" width="10.5703125" customWidth="1"/>
    <col min="10" max="10" width="11.140625" customWidth="1"/>
    <col min="11" max="11" width="47.42578125" bestFit="1" customWidth="1"/>
    <col min="12" max="12" width="13.85546875" bestFit="1" customWidth="1"/>
    <col min="13" max="13" width="2.140625" customWidth="1"/>
    <col min="14" max="14" width="11.140625" bestFit="1" customWidth="1"/>
    <col min="15" max="15" width="2" customWidth="1"/>
    <col min="16" max="16" width="13.85546875" bestFit="1" customWidth="1"/>
    <col min="17" max="17" width="1.85546875" customWidth="1"/>
    <col min="18" max="18" width="11.140625" bestFit="1" customWidth="1"/>
    <col min="19" max="19" width="13.140625" customWidth="1"/>
  </cols>
  <sheetData>
    <row r="1" spans="1:23" ht="15.75" thickBot="1">
      <c r="A1" s="205"/>
      <c r="B1" s="205"/>
      <c r="C1" s="405" t="s">
        <v>263</v>
      </c>
      <c r="D1" s="405"/>
      <c r="E1" s="405"/>
      <c r="F1" s="205"/>
      <c r="G1" s="405" t="s">
        <v>264</v>
      </c>
      <c r="H1" s="405"/>
      <c r="I1" s="405"/>
      <c r="J1" s="53"/>
      <c r="K1" s="205"/>
      <c r="L1" s="405" t="s">
        <v>263</v>
      </c>
      <c r="M1" s="405"/>
      <c r="N1" s="405"/>
      <c r="O1" s="205"/>
      <c r="P1" s="405" t="s">
        <v>264</v>
      </c>
      <c r="Q1" s="405"/>
      <c r="R1" s="405"/>
      <c r="S1" s="206"/>
    </row>
    <row r="2" spans="1:23">
      <c r="A2" s="205"/>
      <c r="B2" s="205"/>
      <c r="C2" s="205"/>
      <c r="D2" s="210"/>
      <c r="E2" s="205"/>
      <c r="F2" s="205"/>
      <c r="G2" s="205"/>
      <c r="H2" s="210"/>
      <c r="I2" s="205"/>
      <c r="J2" s="53"/>
      <c r="K2" s="205"/>
      <c r="L2" s="205"/>
      <c r="M2" s="205"/>
      <c r="N2" s="205"/>
      <c r="O2" s="205"/>
      <c r="P2" s="205"/>
      <c r="Q2" s="226"/>
      <c r="R2" s="205"/>
      <c r="S2" s="226"/>
    </row>
    <row r="3" spans="1:23" ht="15" customHeight="1">
      <c r="A3" s="410" t="s">
        <v>29</v>
      </c>
      <c r="B3" s="408"/>
      <c r="C3" s="281" t="s">
        <v>399</v>
      </c>
      <c r="D3" s="408"/>
      <c r="E3" s="406" t="s">
        <v>291</v>
      </c>
      <c r="F3" s="408"/>
      <c r="G3" s="281" t="s">
        <v>399</v>
      </c>
      <c r="H3" s="408"/>
      <c r="I3" s="406" t="s">
        <v>291</v>
      </c>
      <c r="J3" s="409"/>
      <c r="K3" s="410" t="s">
        <v>38</v>
      </c>
      <c r="L3" s="281" t="s">
        <v>290</v>
      </c>
      <c r="M3" s="408"/>
      <c r="N3" s="406" t="s">
        <v>291</v>
      </c>
      <c r="O3" s="408"/>
      <c r="P3" s="281" t="s">
        <v>290</v>
      </c>
      <c r="Q3" s="408"/>
      <c r="R3" s="406" t="s">
        <v>291</v>
      </c>
      <c r="S3" s="411"/>
    </row>
    <row r="4" spans="1:23" ht="21" customHeight="1" thickBot="1">
      <c r="A4" s="410"/>
      <c r="B4" s="408"/>
      <c r="C4" s="282" t="s">
        <v>292</v>
      </c>
      <c r="D4" s="408"/>
      <c r="E4" s="407"/>
      <c r="F4" s="408"/>
      <c r="G4" s="282" t="s">
        <v>292</v>
      </c>
      <c r="H4" s="408"/>
      <c r="I4" s="407"/>
      <c r="J4" s="409"/>
      <c r="K4" s="410"/>
      <c r="L4" s="282" t="s">
        <v>292</v>
      </c>
      <c r="M4" s="408"/>
      <c r="N4" s="407"/>
      <c r="O4" s="408"/>
      <c r="P4" s="282" t="s">
        <v>292</v>
      </c>
      <c r="Q4" s="408"/>
      <c r="R4" s="407"/>
      <c r="S4" s="411"/>
    </row>
    <row r="5" spans="1:23">
      <c r="A5" s="205"/>
      <c r="B5" s="205"/>
      <c r="C5" s="205"/>
      <c r="D5" s="205"/>
      <c r="E5" s="205"/>
      <c r="F5" s="205"/>
      <c r="G5" s="205"/>
      <c r="H5" s="205"/>
      <c r="I5" s="205"/>
      <c r="J5" s="53"/>
      <c r="K5" s="205"/>
      <c r="L5" s="205"/>
      <c r="M5" s="205"/>
      <c r="N5" s="205"/>
      <c r="O5" s="205"/>
      <c r="P5" s="205"/>
      <c r="Q5" s="53"/>
      <c r="R5" s="205"/>
      <c r="S5" s="226"/>
    </row>
    <row r="6" spans="1:23">
      <c r="A6" s="205"/>
      <c r="B6" s="205"/>
      <c r="C6" s="205"/>
      <c r="D6" s="205"/>
      <c r="E6" s="205"/>
      <c r="F6" s="205"/>
      <c r="G6" s="205"/>
      <c r="H6" s="205"/>
      <c r="I6" s="205"/>
      <c r="J6" s="53"/>
      <c r="K6" s="205"/>
      <c r="L6" s="205"/>
      <c r="M6" s="205"/>
      <c r="N6" s="205"/>
      <c r="O6" s="205"/>
      <c r="P6" s="205"/>
      <c r="Q6" s="53"/>
      <c r="R6" s="205"/>
      <c r="S6" s="226"/>
    </row>
    <row r="7" spans="1:23">
      <c r="A7" s="210" t="s">
        <v>30</v>
      </c>
      <c r="B7" s="205"/>
      <c r="C7" s="205"/>
      <c r="D7" s="205"/>
      <c r="E7" s="205"/>
      <c r="F7" s="205"/>
      <c r="G7" s="205"/>
      <c r="H7" s="205"/>
      <c r="I7" s="205"/>
      <c r="J7" s="53"/>
      <c r="K7" s="210" t="s">
        <v>30</v>
      </c>
      <c r="L7" s="205"/>
      <c r="M7" s="205"/>
      <c r="N7" s="205"/>
      <c r="O7" s="205"/>
      <c r="P7" s="205"/>
      <c r="Q7" s="53"/>
      <c r="R7" s="205"/>
      <c r="S7" s="226"/>
    </row>
    <row r="8" spans="1:23">
      <c r="A8" s="210" t="s">
        <v>293</v>
      </c>
      <c r="B8" s="205"/>
      <c r="C8" s="283">
        <v>65</v>
      </c>
      <c r="D8" s="205"/>
      <c r="E8" s="283">
        <v>61</v>
      </c>
      <c r="F8" s="295">
        <v>-4</v>
      </c>
      <c r="G8" s="299">
        <v>27648</v>
      </c>
      <c r="H8" s="205"/>
      <c r="I8" s="283">
        <v>46343</v>
      </c>
      <c r="J8" s="297">
        <v>16954</v>
      </c>
      <c r="K8" s="210" t="s">
        <v>294</v>
      </c>
      <c r="L8" s="284"/>
      <c r="M8" s="210"/>
      <c r="N8" s="285"/>
      <c r="O8" s="296">
        <v>0</v>
      </c>
      <c r="P8" s="300">
        <v>36273</v>
      </c>
      <c r="Q8" s="53"/>
      <c r="R8" s="283">
        <v>84665</v>
      </c>
      <c r="S8" s="296">
        <v>-48392</v>
      </c>
      <c r="U8" s="298">
        <v>48392</v>
      </c>
    </row>
    <row r="9" spans="1:23">
      <c r="A9" s="210" t="s">
        <v>295</v>
      </c>
      <c r="B9" s="205"/>
      <c r="C9" s="284"/>
      <c r="D9" s="205"/>
      <c r="E9" s="284"/>
      <c r="F9" s="295">
        <v>0</v>
      </c>
      <c r="G9" s="300">
        <v>185761</v>
      </c>
      <c r="H9" s="205"/>
      <c r="I9" s="283">
        <v>232036</v>
      </c>
      <c r="J9" s="297">
        <v>48016</v>
      </c>
      <c r="K9" s="210" t="s">
        <v>39</v>
      </c>
      <c r="L9" s="284">
        <v>16</v>
      </c>
      <c r="M9" s="210"/>
      <c r="N9" s="284">
        <v>13</v>
      </c>
      <c r="O9" s="296">
        <v>3</v>
      </c>
      <c r="P9" s="300">
        <v>17132</v>
      </c>
      <c r="Q9" s="53"/>
      <c r="R9" s="283">
        <v>13890</v>
      </c>
      <c r="S9" s="296">
        <v>3242</v>
      </c>
    </row>
    <row r="10" spans="1:23">
      <c r="A10" s="210" t="s">
        <v>31</v>
      </c>
      <c r="B10" s="205"/>
      <c r="C10" s="283">
        <v>4850</v>
      </c>
      <c r="D10" s="205"/>
      <c r="E10" s="283">
        <v>14471</v>
      </c>
      <c r="F10" s="295">
        <v>9621</v>
      </c>
      <c r="G10" s="283"/>
      <c r="H10" s="205"/>
      <c r="I10" s="283"/>
      <c r="J10" s="297">
        <v>0</v>
      </c>
      <c r="K10" s="210" t="s">
        <v>40</v>
      </c>
      <c r="L10" s="284">
        <v>8</v>
      </c>
      <c r="M10" s="210"/>
      <c r="N10" s="284">
        <v>9</v>
      </c>
      <c r="O10" s="296">
        <v>-1</v>
      </c>
      <c r="P10" s="300">
        <v>6550</v>
      </c>
      <c r="Q10" s="53"/>
      <c r="R10" s="283">
        <v>8107</v>
      </c>
      <c r="S10" s="296">
        <v>-1557</v>
      </c>
    </row>
    <row r="11" spans="1:23">
      <c r="A11" s="210" t="s">
        <v>296</v>
      </c>
      <c r="B11" s="205"/>
      <c r="C11" s="284"/>
      <c r="D11" s="205"/>
      <c r="E11" s="284">
        <v>0</v>
      </c>
      <c r="F11" s="295">
        <v>0</v>
      </c>
      <c r="G11" s="300">
        <v>176461</v>
      </c>
      <c r="H11" s="205"/>
      <c r="I11" s="283">
        <v>162775</v>
      </c>
      <c r="J11" s="297">
        <v>-13686</v>
      </c>
      <c r="K11" s="210" t="s">
        <v>41</v>
      </c>
      <c r="L11" s="284">
        <v>15</v>
      </c>
      <c r="M11" s="210"/>
      <c r="N11" s="284">
        <v>8</v>
      </c>
      <c r="O11" s="296">
        <v>7</v>
      </c>
      <c r="P11" s="300">
        <v>10948</v>
      </c>
      <c r="Q11" s="53"/>
      <c r="R11" s="283">
        <v>11795</v>
      </c>
      <c r="S11" s="296">
        <v>-847</v>
      </c>
    </row>
    <row r="12" spans="1:23">
      <c r="A12" s="210" t="s">
        <v>32</v>
      </c>
      <c r="B12" s="205"/>
      <c r="C12" s="294">
        <v>1098</v>
      </c>
      <c r="D12" s="205"/>
      <c r="E12" s="294">
        <v>1052</v>
      </c>
      <c r="F12" s="295">
        <v>-46</v>
      </c>
      <c r="G12" s="300">
        <v>17594</v>
      </c>
      <c r="H12" s="205"/>
      <c r="I12" s="283">
        <v>13369</v>
      </c>
      <c r="J12" s="297">
        <v>-4225</v>
      </c>
      <c r="K12" s="210" t="s">
        <v>297</v>
      </c>
      <c r="L12" s="283">
        <v>29</v>
      </c>
      <c r="M12" s="210"/>
      <c r="N12" s="283">
        <v>5366</v>
      </c>
      <c r="O12" s="296">
        <v>-5337</v>
      </c>
      <c r="P12" s="300">
        <v>1438</v>
      </c>
      <c r="Q12" s="53"/>
      <c r="R12" s="283">
        <v>6775</v>
      </c>
      <c r="S12" s="296">
        <v>-5337</v>
      </c>
      <c r="T12">
        <v>2618</v>
      </c>
      <c r="U12" s="298">
        <v>-7955</v>
      </c>
      <c r="V12">
        <v>15036</v>
      </c>
      <c r="W12" s="298">
        <v>13598</v>
      </c>
    </row>
    <row r="13" spans="1:23">
      <c r="A13" s="210" t="s">
        <v>298</v>
      </c>
      <c r="B13" s="205"/>
      <c r="C13" s="283">
        <v>1757</v>
      </c>
      <c r="D13" s="205"/>
      <c r="E13" s="283">
        <v>2375</v>
      </c>
      <c r="F13" s="295">
        <v>618</v>
      </c>
      <c r="G13" s="300">
        <v>29028</v>
      </c>
      <c r="H13" s="205"/>
      <c r="I13" s="283">
        <v>26467</v>
      </c>
      <c r="J13" s="297">
        <v>-2561</v>
      </c>
      <c r="K13" s="210" t="s">
        <v>42</v>
      </c>
      <c r="L13" s="284"/>
      <c r="M13" s="210"/>
      <c r="N13" s="284"/>
      <c r="O13" s="296">
        <v>0</v>
      </c>
      <c r="P13" s="302">
        <v>243</v>
      </c>
      <c r="Q13" s="53"/>
      <c r="R13" s="294">
        <v>406</v>
      </c>
      <c r="S13" s="296">
        <v>-163</v>
      </c>
    </row>
    <row r="14" spans="1:23" ht="15.75" thickBot="1">
      <c r="A14" s="205"/>
      <c r="B14" s="205"/>
      <c r="C14" s="284"/>
      <c r="D14" s="205"/>
      <c r="E14" s="205"/>
      <c r="F14" s="295">
        <v>0</v>
      </c>
      <c r="G14" s="284"/>
      <c r="H14" s="205"/>
      <c r="I14" s="205"/>
      <c r="J14" s="297">
        <v>0</v>
      </c>
      <c r="K14" s="210" t="s">
        <v>43</v>
      </c>
      <c r="L14" s="286">
        <v>7</v>
      </c>
      <c r="M14" s="210"/>
      <c r="N14" s="286">
        <v>6</v>
      </c>
      <c r="O14" s="296">
        <v>1</v>
      </c>
      <c r="P14" s="303">
        <v>6922</v>
      </c>
      <c r="Q14" s="53"/>
      <c r="R14" s="288">
        <v>6835</v>
      </c>
      <c r="S14" s="296">
        <v>87</v>
      </c>
    </row>
    <row r="15" spans="1:23" ht="15.75" thickBot="1">
      <c r="A15" s="205"/>
      <c r="B15" s="205"/>
      <c r="C15" s="286"/>
      <c r="D15" s="205"/>
      <c r="E15" s="290"/>
      <c r="F15" s="295">
        <v>0</v>
      </c>
      <c r="G15" s="286"/>
      <c r="H15" s="205"/>
      <c r="I15" s="290"/>
      <c r="J15" s="297">
        <v>0</v>
      </c>
      <c r="K15" s="205"/>
      <c r="L15" s="284"/>
      <c r="M15" s="210"/>
      <c r="N15" s="284"/>
      <c r="O15" s="296">
        <v>0</v>
      </c>
      <c r="P15" s="284"/>
      <c r="Q15" s="53"/>
      <c r="R15" s="284"/>
      <c r="S15" s="296">
        <v>0</v>
      </c>
    </row>
    <row r="16" spans="1:23" ht="15.75" thickBot="1">
      <c r="A16" s="205"/>
      <c r="B16" s="205"/>
      <c r="C16" s="284"/>
      <c r="D16" s="205"/>
      <c r="E16" s="205"/>
      <c r="F16" s="295">
        <v>0</v>
      </c>
      <c r="G16" s="284"/>
      <c r="H16" s="205"/>
      <c r="I16" s="205"/>
      <c r="J16" s="297">
        <v>0</v>
      </c>
      <c r="K16" s="205"/>
      <c r="L16" s="288">
        <v>75</v>
      </c>
      <c r="M16" s="210"/>
      <c r="N16" s="288">
        <v>5402</v>
      </c>
      <c r="O16" s="296">
        <v>-5327</v>
      </c>
      <c r="P16" s="288">
        <v>79506</v>
      </c>
      <c r="Q16" s="53"/>
      <c r="R16" s="288">
        <v>132473</v>
      </c>
      <c r="S16" s="296">
        <v>-52967</v>
      </c>
    </row>
    <row r="17" spans="1:21" ht="15.75" thickBot="1">
      <c r="A17" s="205"/>
      <c r="B17" s="205"/>
      <c r="C17" s="288">
        <v>7770</v>
      </c>
      <c r="D17" s="205"/>
      <c r="E17" s="288">
        <v>17959</v>
      </c>
      <c r="F17" s="295">
        <v>10189</v>
      </c>
      <c r="G17" s="288">
        <v>436492</v>
      </c>
      <c r="H17" s="205"/>
      <c r="I17" s="288">
        <v>480990</v>
      </c>
      <c r="J17" s="297">
        <v>44498</v>
      </c>
      <c r="K17" s="205"/>
      <c r="L17" s="284"/>
      <c r="M17" s="210"/>
      <c r="N17" s="284"/>
      <c r="O17" s="296">
        <v>0</v>
      </c>
      <c r="P17" s="284"/>
      <c r="Q17" s="53"/>
      <c r="R17" s="284"/>
      <c r="S17" s="296">
        <v>0</v>
      </c>
    </row>
    <row r="18" spans="1:21">
      <c r="A18" s="205"/>
      <c r="B18" s="205"/>
      <c r="C18" s="284"/>
      <c r="D18" s="205"/>
      <c r="E18" s="205"/>
      <c r="F18" s="295">
        <v>0</v>
      </c>
      <c r="G18" s="284"/>
      <c r="H18" s="205"/>
      <c r="I18" s="205"/>
      <c r="J18" s="297">
        <v>0</v>
      </c>
      <c r="K18" s="210" t="s">
        <v>34</v>
      </c>
      <c r="L18" s="284"/>
      <c r="M18" s="210"/>
      <c r="N18" s="284"/>
      <c r="O18" s="296">
        <v>0</v>
      </c>
      <c r="P18" s="284"/>
      <c r="Q18" s="53"/>
      <c r="R18" s="284"/>
      <c r="S18" s="296">
        <v>0</v>
      </c>
    </row>
    <row r="19" spans="1:21" ht="15.75" thickBot="1">
      <c r="A19" s="210" t="s">
        <v>299</v>
      </c>
      <c r="B19" s="205"/>
      <c r="C19" s="286"/>
      <c r="D19" s="205"/>
      <c r="E19" s="290"/>
      <c r="F19" s="295">
        <v>0</v>
      </c>
      <c r="G19" s="286"/>
      <c r="H19" s="205"/>
      <c r="I19" s="286"/>
      <c r="J19" s="297">
        <v>0</v>
      </c>
      <c r="K19" s="210" t="s">
        <v>294</v>
      </c>
      <c r="L19" s="284"/>
      <c r="M19" s="210"/>
      <c r="N19" s="284"/>
      <c r="O19" s="296">
        <v>0</v>
      </c>
      <c r="P19" s="302">
        <v>155132</v>
      </c>
      <c r="Q19" s="53"/>
      <c r="R19" s="294">
        <v>155128</v>
      </c>
      <c r="S19" s="296">
        <v>4</v>
      </c>
    </row>
    <row r="20" spans="1:21">
      <c r="A20" s="205"/>
      <c r="B20" s="205"/>
      <c r="C20" s="284"/>
      <c r="D20" s="205"/>
      <c r="E20" s="205"/>
      <c r="F20" s="295">
        <v>0</v>
      </c>
      <c r="G20" s="284"/>
      <c r="H20" s="205"/>
      <c r="I20" s="205"/>
      <c r="J20" s="297">
        <v>0</v>
      </c>
      <c r="K20" s="210" t="s">
        <v>300</v>
      </c>
      <c r="L20" s="284"/>
      <c r="M20" s="210"/>
      <c r="N20" s="284"/>
      <c r="O20" s="296">
        <v>0</v>
      </c>
      <c r="P20" s="300">
        <v>50783</v>
      </c>
      <c r="Q20" s="53"/>
      <c r="R20" s="283">
        <v>49640</v>
      </c>
      <c r="S20" s="296">
        <v>1143</v>
      </c>
      <c r="T20" s="298"/>
    </row>
    <row r="21" spans="1:21" ht="15.75" thickBot="1">
      <c r="A21" s="205"/>
      <c r="B21" s="205"/>
      <c r="C21" s="288">
        <v>7770</v>
      </c>
      <c r="D21" s="205"/>
      <c r="E21" s="288">
        <v>17959</v>
      </c>
      <c r="F21" s="295">
        <v>10189</v>
      </c>
      <c r="G21" s="288">
        <v>436492</v>
      </c>
      <c r="H21" s="205"/>
      <c r="I21" s="288">
        <v>480990</v>
      </c>
      <c r="J21" s="297">
        <v>44498</v>
      </c>
      <c r="K21" s="210" t="s">
        <v>301</v>
      </c>
      <c r="L21" s="284"/>
      <c r="M21" s="210"/>
      <c r="N21" s="284"/>
      <c r="O21" s="296">
        <v>0</v>
      </c>
      <c r="P21" s="300">
        <v>28921</v>
      </c>
      <c r="Q21" s="53"/>
      <c r="R21" s="283">
        <v>27714</v>
      </c>
      <c r="S21" s="296">
        <v>1207</v>
      </c>
    </row>
    <row r="22" spans="1:21">
      <c r="A22" s="210"/>
      <c r="B22" s="210"/>
      <c r="C22" s="284"/>
      <c r="D22" s="210"/>
      <c r="E22" s="284"/>
      <c r="F22" s="295">
        <v>0</v>
      </c>
      <c r="G22" s="284"/>
      <c r="H22" s="210"/>
      <c r="I22" s="284"/>
      <c r="J22" s="297">
        <v>0</v>
      </c>
      <c r="K22" s="210" t="s">
        <v>42</v>
      </c>
      <c r="L22" s="284"/>
      <c r="M22" s="210"/>
      <c r="N22" s="284"/>
      <c r="O22" s="296">
        <v>0</v>
      </c>
      <c r="P22" s="304">
        <v>320</v>
      </c>
      <c r="Q22" s="53"/>
      <c r="R22" s="284">
        <v>560</v>
      </c>
      <c r="S22" s="296">
        <v>-240</v>
      </c>
    </row>
    <row r="23" spans="1:21">
      <c r="A23" s="205"/>
      <c r="B23" s="205"/>
      <c r="C23" s="205"/>
      <c r="D23" s="205"/>
      <c r="E23" s="205"/>
      <c r="F23" s="295">
        <v>0</v>
      </c>
      <c r="G23" s="205"/>
      <c r="H23" s="205"/>
      <c r="I23" s="205"/>
      <c r="J23" s="297">
        <v>0</v>
      </c>
      <c r="K23" s="210" t="s">
        <v>302</v>
      </c>
      <c r="L23" s="284"/>
      <c r="M23" s="210"/>
      <c r="N23" s="284"/>
      <c r="O23" s="296">
        <v>0</v>
      </c>
      <c r="P23" s="300">
        <v>24804</v>
      </c>
      <c r="Q23" s="226"/>
      <c r="R23" s="283">
        <v>24954</v>
      </c>
      <c r="S23" s="296">
        <v>-150</v>
      </c>
    </row>
    <row r="24" spans="1:21" ht="15.75" thickBot="1">
      <c r="A24" s="210" t="s">
        <v>34</v>
      </c>
      <c r="B24" s="205"/>
      <c r="C24" s="205"/>
      <c r="D24" s="205"/>
      <c r="E24" s="205"/>
      <c r="F24" s="295">
        <v>0</v>
      </c>
      <c r="G24" s="205"/>
      <c r="H24" s="205"/>
      <c r="I24" s="205"/>
      <c r="J24" s="297">
        <v>0</v>
      </c>
      <c r="K24" s="210" t="s">
        <v>43</v>
      </c>
      <c r="L24" s="286"/>
      <c r="M24" s="210"/>
      <c r="N24" s="286"/>
      <c r="O24" s="296">
        <v>0</v>
      </c>
      <c r="P24" s="303">
        <v>2132</v>
      </c>
      <c r="Q24" s="53"/>
      <c r="R24" s="288">
        <v>2132</v>
      </c>
      <c r="S24" s="296">
        <v>0</v>
      </c>
      <c r="T24" s="298"/>
      <c r="U24" t="s">
        <v>303</v>
      </c>
    </row>
    <row r="25" spans="1:21">
      <c r="A25" s="210" t="s">
        <v>35</v>
      </c>
      <c r="B25" s="205"/>
      <c r="C25" s="205"/>
      <c r="D25" s="205"/>
      <c r="E25" s="205"/>
      <c r="F25" s="295">
        <v>0</v>
      </c>
      <c r="G25" s="205"/>
      <c r="H25" s="205"/>
      <c r="I25" s="205"/>
      <c r="J25" s="297">
        <v>0</v>
      </c>
      <c r="K25" s="205"/>
      <c r="L25" s="284"/>
      <c r="M25" s="210"/>
      <c r="N25" s="284"/>
      <c r="O25" s="296">
        <v>0</v>
      </c>
      <c r="P25" s="284"/>
      <c r="Q25" s="53"/>
      <c r="R25" s="284"/>
      <c r="S25" s="296">
        <v>0</v>
      </c>
    </row>
    <row r="26" spans="1:21" ht="15.75" thickBot="1">
      <c r="A26" s="210" t="s">
        <v>304</v>
      </c>
      <c r="B26" s="205"/>
      <c r="C26" s="205"/>
      <c r="D26" s="205"/>
      <c r="E26" s="205"/>
      <c r="F26" s="295">
        <v>0</v>
      </c>
      <c r="G26" s="300">
        <v>8437</v>
      </c>
      <c r="H26" s="205"/>
      <c r="I26" s="283">
        <v>8812</v>
      </c>
      <c r="J26" s="297">
        <v>375</v>
      </c>
      <c r="K26" s="205"/>
      <c r="L26" s="289">
        <v>0</v>
      </c>
      <c r="M26" s="210"/>
      <c r="N26" s="289">
        <v>0</v>
      </c>
      <c r="O26" s="296">
        <v>0</v>
      </c>
      <c r="P26" s="289">
        <v>262092</v>
      </c>
      <c r="Q26" s="53"/>
      <c r="R26" s="289">
        <v>260128</v>
      </c>
      <c r="S26" s="296">
        <v>1964</v>
      </c>
    </row>
    <row r="27" spans="1:21" ht="15.75" thickBot="1">
      <c r="A27" s="210" t="s">
        <v>32</v>
      </c>
      <c r="B27" s="205"/>
      <c r="C27" s="205"/>
      <c r="D27" s="205"/>
      <c r="E27" s="205"/>
      <c r="F27" s="295">
        <v>0</v>
      </c>
      <c r="G27" s="300">
        <v>4571</v>
      </c>
      <c r="H27" s="205"/>
      <c r="I27" s="283">
        <v>4570</v>
      </c>
      <c r="J27" s="297">
        <v>-1</v>
      </c>
      <c r="K27" s="205"/>
      <c r="L27" s="288">
        <v>75</v>
      </c>
      <c r="M27" s="210"/>
      <c r="N27" s="288">
        <v>5402</v>
      </c>
      <c r="O27" s="296">
        <v>-5327</v>
      </c>
      <c r="P27" s="288">
        <v>341598</v>
      </c>
      <c r="Q27" s="53"/>
      <c r="R27" s="288">
        <v>392601</v>
      </c>
      <c r="S27" s="296">
        <v>-51003</v>
      </c>
    </row>
    <row r="28" spans="1:21">
      <c r="A28" s="210" t="s">
        <v>400</v>
      </c>
      <c r="B28" s="205"/>
      <c r="C28" s="205"/>
      <c r="D28" s="205"/>
      <c r="E28" s="205"/>
      <c r="F28" s="295"/>
      <c r="G28" s="300">
        <v>7617</v>
      </c>
      <c r="H28" s="205"/>
      <c r="I28" s="283">
        <v>6664</v>
      </c>
      <c r="J28" s="297"/>
      <c r="K28" s="205"/>
      <c r="L28" s="283"/>
      <c r="M28" s="210"/>
      <c r="N28" s="283"/>
      <c r="O28" s="296"/>
      <c r="P28" s="283"/>
      <c r="Q28" s="53"/>
      <c r="R28" s="283"/>
      <c r="S28" s="296"/>
    </row>
    <row r="29" spans="1:21">
      <c r="A29" s="210" t="s">
        <v>305</v>
      </c>
      <c r="B29" s="205"/>
      <c r="C29" s="205"/>
      <c r="D29" s="205"/>
      <c r="E29" s="205"/>
      <c r="F29" s="295">
        <v>0</v>
      </c>
      <c r="G29" s="300">
        <v>24804</v>
      </c>
      <c r="H29" s="205"/>
      <c r="I29" s="283">
        <v>25574</v>
      </c>
      <c r="J29" s="297">
        <v>770</v>
      </c>
      <c r="K29" s="205"/>
      <c r="L29" s="284"/>
      <c r="M29" s="210"/>
      <c r="N29" s="284"/>
      <c r="O29" s="296">
        <v>0</v>
      </c>
      <c r="P29" s="284"/>
      <c r="Q29" s="53"/>
      <c r="R29" s="284"/>
      <c r="S29" s="296">
        <v>0</v>
      </c>
    </row>
    <row r="30" spans="1:21">
      <c r="A30" s="210" t="s">
        <v>36</v>
      </c>
      <c r="B30" s="205"/>
      <c r="C30" s="205"/>
      <c r="D30" s="205"/>
      <c r="E30" s="205"/>
      <c r="F30" s="295">
        <v>0</v>
      </c>
      <c r="G30" s="300">
        <v>2069</v>
      </c>
      <c r="H30" s="205"/>
      <c r="I30" s="283">
        <v>2116</v>
      </c>
      <c r="J30" s="297">
        <v>47</v>
      </c>
      <c r="K30" s="210" t="s">
        <v>306</v>
      </c>
      <c r="L30" s="284"/>
      <c r="M30" s="210"/>
      <c r="N30" s="284"/>
      <c r="O30" s="296">
        <v>0</v>
      </c>
      <c r="P30" s="284"/>
      <c r="Q30" s="53"/>
      <c r="R30" s="284"/>
      <c r="S30" s="296">
        <v>0</v>
      </c>
    </row>
    <row r="31" spans="1:21" ht="15.75" thickBot="1">
      <c r="A31" s="210" t="s">
        <v>33</v>
      </c>
      <c r="B31" s="205"/>
      <c r="C31" s="290"/>
      <c r="D31" s="205"/>
      <c r="E31" s="290"/>
      <c r="F31" s="295">
        <v>0</v>
      </c>
      <c r="G31" s="301">
        <v>360</v>
      </c>
      <c r="H31" s="205"/>
      <c r="I31" s="286">
        <v>114</v>
      </c>
      <c r="J31" s="297">
        <v>-246</v>
      </c>
      <c r="K31" s="210" t="s">
        <v>307</v>
      </c>
      <c r="L31" s="284"/>
      <c r="M31" s="210"/>
      <c r="N31" s="284"/>
      <c r="O31" s="296">
        <v>0</v>
      </c>
      <c r="P31" s="284"/>
      <c r="Q31" s="53"/>
      <c r="R31" s="284"/>
      <c r="S31" s="296">
        <v>0</v>
      </c>
    </row>
    <row r="32" spans="1:21">
      <c r="A32" s="205"/>
      <c r="B32" s="205"/>
      <c r="C32" s="205"/>
      <c r="D32" s="205"/>
      <c r="E32" s="205"/>
      <c r="F32" s="295">
        <v>0</v>
      </c>
      <c r="G32" s="284"/>
      <c r="H32" s="205"/>
      <c r="I32" s="205"/>
      <c r="J32" s="297">
        <v>0</v>
      </c>
      <c r="K32" s="210" t="s">
        <v>45</v>
      </c>
      <c r="L32" s="216">
        <v>129393</v>
      </c>
      <c r="M32" s="216"/>
      <c r="N32" s="216">
        <v>127000</v>
      </c>
      <c r="O32" s="296">
        <v>2393</v>
      </c>
      <c r="P32" s="216">
        <v>129393</v>
      </c>
      <c r="Q32" s="216"/>
      <c r="R32" s="216">
        <v>127000</v>
      </c>
      <c r="S32" s="296">
        <v>2393</v>
      </c>
    </row>
    <row r="33" spans="1:19">
      <c r="A33" s="205"/>
      <c r="B33" s="205"/>
      <c r="C33" s="205"/>
      <c r="D33" s="205"/>
      <c r="E33" s="205"/>
      <c r="F33" s="295">
        <v>0</v>
      </c>
      <c r="G33" s="284"/>
      <c r="H33" s="205"/>
      <c r="I33" s="205"/>
      <c r="J33" s="297">
        <v>0</v>
      </c>
      <c r="K33" s="210" t="s">
        <v>46</v>
      </c>
      <c r="L33" s="216">
        <v>-10870</v>
      </c>
      <c r="M33" s="216"/>
      <c r="N33" s="216">
        <v>-10870</v>
      </c>
      <c r="O33" s="296">
        <v>0</v>
      </c>
      <c r="P33" s="216">
        <v>-10870</v>
      </c>
      <c r="Q33" s="216"/>
      <c r="R33" s="216">
        <v>-10870</v>
      </c>
      <c r="S33" s="296">
        <v>0</v>
      </c>
    </row>
    <row r="34" spans="1:19">
      <c r="A34" s="210" t="s">
        <v>308</v>
      </c>
      <c r="B34" s="205"/>
      <c r="C34" s="283">
        <v>362019</v>
      </c>
      <c r="D34" s="205"/>
      <c r="E34" s="283">
        <v>354905</v>
      </c>
      <c r="F34" s="295">
        <v>-7114</v>
      </c>
      <c r="G34" s="294"/>
      <c r="H34" s="205"/>
      <c r="I34" s="205"/>
      <c r="J34" s="297">
        <v>0</v>
      </c>
      <c r="K34" s="210" t="s">
        <v>47</v>
      </c>
      <c r="L34" s="216">
        <v>190475</v>
      </c>
      <c r="M34" s="216"/>
      <c r="N34" s="216">
        <v>188397</v>
      </c>
      <c r="O34" s="296">
        <v>2078</v>
      </c>
      <c r="P34" s="216">
        <v>190475</v>
      </c>
      <c r="Q34" s="216"/>
      <c r="R34" s="216">
        <v>188397</v>
      </c>
      <c r="S34" s="296">
        <v>2078</v>
      </c>
    </row>
    <row r="35" spans="1:19">
      <c r="A35" s="210" t="s">
        <v>309</v>
      </c>
      <c r="B35" s="205"/>
      <c r="C35" s="283">
        <v>74957</v>
      </c>
      <c r="D35" s="205"/>
      <c r="E35" s="283">
        <v>74959</v>
      </c>
      <c r="F35" s="295">
        <v>2</v>
      </c>
      <c r="G35" s="302">
        <v>263798</v>
      </c>
      <c r="H35" s="205"/>
      <c r="I35" s="294">
        <v>266280</v>
      </c>
      <c r="J35" s="297">
        <v>2482</v>
      </c>
      <c r="K35" s="210" t="s">
        <v>48</v>
      </c>
      <c r="L35" s="216">
        <v>147022</v>
      </c>
      <c r="M35" s="216"/>
      <c r="N35" s="216">
        <v>154128</v>
      </c>
      <c r="O35" s="296">
        <v>-7106</v>
      </c>
      <c r="P35" s="216">
        <v>147022</v>
      </c>
      <c r="Q35" s="216"/>
      <c r="R35" s="216">
        <v>154128</v>
      </c>
      <c r="S35" s="296">
        <v>-7106</v>
      </c>
    </row>
    <row r="36" spans="1:19" ht="15.75" thickBot="1">
      <c r="A36" s="210" t="s">
        <v>310</v>
      </c>
      <c r="B36" s="205"/>
      <c r="C36" s="286"/>
      <c r="D36" s="205"/>
      <c r="E36" s="290"/>
      <c r="F36" s="295">
        <v>0</v>
      </c>
      <c r="G36" s="303">
        <v>41765</v>
      </c>
      <c r="H36" s="205"/>
      <c r="I36" s="288">
        <v>43490</v>
      </c>
      <c r="J36" s="297">
        <v>1725</v>
      </c>
      <c r="K36" s="210" t="s">
        <v>49</v>
      </c>
      <c r="L36" s="216">
        <v>-16234</v>
      </c>
      <c r="M36" s="216"/>
      <c r="N36" s="216">
        <v>-16234</v>
      </c>
      <c r="O36" s="296">
        <v>0</v>
      </c>
      <c r="P36" s="216">
        <v>-16234</v>
      </c>
      <c r="Q36" s="216"/>
      <c r="R36" s="216">
        <v>-16234</v>
      </c>
      <c r="S36" s="296">
        <v>0</v>
      </c>
    </row>
    <row r="37" spans="1:19" ht="15.75" thickBot="1">
      <c r="A37" s="205"/>
      <c r="B37" s="205"/>
      <c r="C37" s="284"/>
      <c r="D37" s="205"/>
      <c r="E37" s="205"/>
      <c r="F37" s="295">
        <v>0</v>
      </c>
      <c r="G37" s="284"/>
      <c r="H37" s="205"/>
      <c r="I37" s="284"/>
      <c r="J37" s="297">
        <v>0</v>
      </c>
      <c r="K37" s="210" t="s">
        <v>401</v>
      </c>
      <c r="L37" s="215">
        <v>4885</v>
      </c>
      <c r="M37" s="216"/>
      <c r="N37" s="215"/>
      <c r="O37" s="296">
        <v>4885</v>
      </c>
      <c r="P37" s="215">
        <v>4885</v>
      </c>
      <c r="Q37" s="216"/>
      <c r="R37" s="215"/>
      <c r="S37" s="296">
        <v>4885</v>
      </c>
    </row>
    <row r="38" spans="1:19">
      <c r="A38" s="205"/>
      <c r="B38" s="205"/>
      <c r="C38" s="284"/>
      <c r="D38" s="205"/>
      <c r="E38" s="205"/>
      <c r="F38" s="295">
        <v>0</v>
      </c>
      <c r="G38" s="284"/>
      <c r="H38" s="205"/>
      <c r="I38" s="284"/>
      <c r="J38" s="297">
        <v>0</v>
      </c>
      <c r="K38" s="205"/>
      <c r="L38" s="284"/>
      <c r="M38" s="210"/>
      <c r="N38" s="284"/>
      <c r="O38" s="296">
        <v>0</v>
      </c>
      <c r="P38" s="284"/>
      <c r="Q38" s="53"/>
      <c r="R38" s="284"/>
      <c r="S38" s="296">
        <v>0</v>
      </c>
    </row>
    <row r="39" spans="1:19" ht="15.75" thickBot="1">
      <c r="A39" s="205"/>
      <c r="B39" s="205"/>
      <c r="C39" s="288">
        <v>436976</v>
      </c>
      <c r="D39" s="205"/>
      <c r="E39" s="288">
        <v>429864</v>
      </c>
      <c r="F39" s="295">
        <v>-7112</v>
      </c>
      <c r="G39" s="288">
        <v>353421</v>
      </c>
      <c r="H39" s="205"/>
      <c r="I39" s="288">
        <v>357620</v>
      </c>
      <c r="J39" s="297">
        <v>4199</v>
      </c>
      <c r="K39" s="205"/>
      <c r="L39" s="288">
        <v>444671</v>
      </c>
      <c r="M39" s="210"/>
      <c r="N39" s="288">
        <v>442421</v>
      </c>
      <c r="O39" s="296">
        <v>2250</v>
      </c>
      <c r="P39" s="288">
        <v>444671</v>
      </c>
      <c r="Q39" s="53"/>
      <c r="R39" s="288">
        <v>442421</v>
      </c>
      <c r="S39" s="296">
        <v>2250</v>
      </c>
    </row>
    <row r="40" spans="1:19">
      <c r="A40" s="205"/>
      <c r="B40" s="205"/>
      <c r="C40" s="284"/>
      <c r="D40" s="205"/>
      <c r="E40" s="205"/>
      <c r="F40" s="295">
        <v>0</v>
      </c>
      <c r="G40" s="284"/>
      <c r="H40" s="205"/>
      <c r="I40" s="284"/>
      <c r="J40" s="297">
        <v>0</v>
      </c>
      <c r="K40" s="205"/>
      <c r="L40" s="284"/>
      <c r="M40" s="210"/>
      <c r="N40" s="284"/>
      <c r="O40" s="296">
        <v>0</v>
      </c>
      <c r="P40" s="284"/>
      <c r="Q40" s="53"/>
      <c r="R40" s="284"/>
      <c r="S40" s="296">
        <v>0</v>
      </c>
    </row>
    <row r="41" spans="1:19" ht="15.75" thickBot="1">
      <c r="A41" s="210"/>
      <c r="B41" s="210"/>
      <c r="C41" s="284"/>
      <c r="D41" s="210"/>
      <c r="E41" s="285"/>
      <c r="F41" s="295">
        <v>0</v>
      </c>
      <c r="G41" s="284"/>
      <c r="H41" s="210"/>
      <c r="I41" s="285"/>
      <c r="J41" s="297">
        <v>0</v>
      </c>
      <c r="K41" s="210" t="s">
        <v>54</v>
      </c>
      <c r="L41" s="286"/>
      <c r="M41" s="210"/>
      <c r="N41" s="287"/>
      <c r="O41" s="296">
        <v>0</v>
      </c>
      <c r="P41" s="288">
        <v>3644</v>
      </c>
      <c r="Q41" s="226"/>
      <c r="R41" s="288">
        <v>3588</v>
      </c>
      <c r="S41" s="296">
        <v>56</v>
      </c>
    </row>
    <row r="42" spans="1:19">
      <c r="A42" s="210"/>
      <c r="B42" s="210"/>
      <c r="C42" s="284"/>
      <c r="D42" s="210"/>
      <c r="E42" s="285"/>
      <c r="F42" s="295">
        <v>0</v>
      </c>
      <c r="G42" s="284"/>
      <c r="H42" s="210"/>
      <c r="I42" s="285"/>
      <c r="J42" s="297">
        <v>0</v>
      </c>
      <c r="K42" s="210"/>
      <c r="L42" s="284"/>
      <c r="M42" s="210"/>
      <c r="N42" s="285"/>
      <c r="O42" s="296">
        <v>0</v>
      </c>
      <c r="P42" s="284"/>
      <c r="Q42" s="226"/>
      <c r="R42" s="285"/>
      <c r="S42" s="296">
        <v>0</v>
      </c>
    </row>
    <row r="43" spans="1:19" ht="15.75" thickBot="1">
      <c r="A43" s="210"/>
      <c r="B43" s="210"/>
      <c r="C43" s="286"/>
      <c r="D43" s="210"/>
      <c r="E43" s="287"/>
      <c r="F43" s="295">
        <v>0</v>
      </c>
      <c r="G43" s="286"/>
      <c r="H43" s="210"/>
      <c r="I43" s="287"/>
      <c r="J43" s="297">
        <v>0</v>
      </c>
      <c r="K43" s="210" t="s">
        <v>50</v>
      </c>
      <c r="L43" s="288">
        <v>444671</v>
      </c>
      <c r="M43" s="210"/>
      <c r="N43" s="288">
        <v>442421</v>
      </c>
      <c r="O43" s="296">
        <v>2250</v>
      </c>
      <c r="P43" s="288">
        <v>448315</v>
      </c>
      <c r="Q43" s="226"/>
      <c r="R43" s="288">
        <v>446009</v>
      </c>
      <c r="S43" s="296">
        <v>2306</v>
      </c>
    </row>
    <row r="44" spans="1:19">
      <c r="A44" s="210"/>
      <c r="B44" s="210"/>
      <c r="C44" s="284"/>
      <c r="D44" s="210"/>
      <c r="E44" s="285"/>
      <c r="F44" s="295">
        <v>0</v>
      </c>
      <c r="G44" s="284"/>
      <c r="H44" s="210"/>
      <c r="I44" s="285"/>
      <c r="J44" s="297">
        <v>0</v>
      </c>
      <c r="K44" s="210"/>
      <c r="L44" s="284"/>
      <c r="M44" s="210"/>
      <c r="N44" s="285"/>
      <c r="O44" s="296">
        <v>0</v>
      </c>
      <c r="P44" s="284"/>
      <c r="Q44" s="226"/>
      <c r="R44" s="285"/>
      <c r="S44" s="296">
        <v>0</v>
      </c>
    </row>
    <row r="45" spans="1:19" ht="15.75" thickBot="1">
      <c r="A45" s="210" t="s">
        <v>37</v>
      </c>
      <c r="B45" s="205"/>
      <c r="C45" s="291">
        <v>444746</v>
      </c>
      <c r="D45" s="205"/>
      <c r="E45" s="291">
        <v>447823</v>
      </c>
      <c r="F45" s="295">
        <v>3077</v>
      </c>
      <c r="G45" s="291">
        <v>789913</v>
      </c>
      <c r="H45" s="205"/>
      <c r="I45" s="291">
        <v>838610</v>
      </c>
      <c r="J45" s="297">
        <v>48697</v>
      </c>
      <c r="K45" s="210" t="s">
        <v>311</v>
      </c>
      <c r="L45" s="291">
        <v>444746</v>
      </c>
      <c r="M45" s="210"/>
      <c r="N45" s="291">
        <v>447823</v>
      </c>
      <c r="O45" s="296">
        <v>-3077</v>
      </c>
      <c r="P45" s="291">
        <v>789913</v>
      </c>
      <c r="Q45" s="53"/>
      <c r="R45" s="291">
        <v>838610</v>
      </c>
      <c r="S45" s="296">
        <v>-48697</v>
      </c>
    </row>
    <row r="46" spans="1:19" ht="15.75" thickTop="1">
      <c r="A46" s="292"/>
      <c r="L46" s="298">
        <v>0</v>
      </c>
      <c r="N46" s="298">
        <v>0</v>
      </c>
      <c r="P46" s="298">
        <v>0</v>
      </c>
      <c r="R46" s="298">
        <v>0</v>
      </c>
    </row>
    <row r="47" spans="1:19">
      <c r="A47" s="292"/>
    </row>
    <row r="48" spans="1:19">
      <c r="A48" s="292"/>
    </row>
    <row r="49" spans="1:1">
      <c r="A49" s="293" t="s">
        <v>312</v>
      </c>
    </row>
    <row r="50" spans="1:1">
      <c r="A50" s="293" t="s">
        <v>313</v>
      </c>
    </row>
  </sheetData>
  <mergeCells count="19">
    <mergeCell ref="O3:O4"/>
    <mergeCell ref="Q3:Q4"/>
    <mergeCell ref="R3:R4"/>
    <mergeCell ref="S3:S4"/>
    <mergeCell ref="P1:R1"/>
    <mergeCell ref="A3:A4"/>
    <mergeCell ref="B3:B4"/>
    <mergeCell ref="D3:D4"/>
    <mergeCell ref="E3:E4"/>
    <mergeCell ref="F3:F4"/>
    <mergeCell ref="C1:E1"/>
    <mergeCell ref="G1:I1"/>
    <mergeCell ref="L1:N1"/>
    <mergeCell ref="N3:N4"/>
    <mergeCell ref="H3:H4"/>
    <mergeCell ref="I3:I4"/>
    <mergeCell ref="J3:J4"/>
    <mergeCell ref="K3:K4"/>
    <mergeCell ref="M3:M4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P45"/>
  <sheetViews>
    <sheetView workbookViewId="0">
      <selection activeCell="H3" sqref="H3"/>
    </sheetView>
  </sheetViews>
  <sheetFormatPr defaultRowHeight="15"/>
  <cols>
    <col min="1" max="1" width="49.5703125" bestFit="1" customWidth="1"/>
    <col min="3" max="3" width="2.85546875" customWidth="1"/>
    <col min="5" max="5" width="2.85546875" customWidth="1"/>
    <col min="6" max="6" width="9.85546875" bestFit="1" customWidth="1"/>
    <col min="7" max="7" width="2.5703125" customWidth="1"/>
    <col min="9" max="10" width="9.140625" style="103"/>
    <col min="14" max="14" width="14.140625" bestFit="1" customWidth="1"/>
    <col min="16" max="16" width="10.85546875" bestFit="1" customWidth="1"/>
  </cols>
  <sheetData>
    <row r="1" spans="1:10" ht="15.75" thickBot="1">
      <c r="A1" s="205"/>
      <c r="B1" s="407" t="s">
        <v>263</v>
      </c>
      <c r="C1" s="407"/>
      <c r="D1" s="407"/>
      <c r="E1" s="53"/>
      <c r="F1" s="407" t="s">
        <v>264</v>
      </c>
      <c r="G1" s="407"/>
      <c r="H1" s="407"/>
    </row>
    <row r="2" spans="1:10">
      <c r="A2" s="205"/>
      <c r="B2" s="53"/>
      <c r="C2" s="206"/>
      <c r="D2" s="207"/>
      <c r="E2" s="53"/>
      <c r="F2" s="53"/>
      <c r="G2" s="206"/>
      <c r="H2" s="207"/>
    </row>
    <row r="3" spans="1:10" ht="15.75" thickBot="1">
      <c r="A3" s="205"/>
      <c r="B3" s="208"/>
      <c r="C3" s="53"/>
      <c r="D3" s="208">
        <v>2013</v>
      </c>
      <c r="E3" s="53"/>
      <c r="F3" s="208"/>
      <c r="G3" s="53"/>
      <c r="H3" s="208">
        <v>2013</v>
      </c>
      <c r="I3" s="209">
        <v>2012</v>
      </c>
      <c r="J3" s="209">
        <v>2013</v>
      </c>
    </row>
    <row r="4" spans="1:10">
      <c r="A4" s="205"/>
      <c r="B4" s="53"/>
      <c r="C4" s="53"/>
      <c r="D4" s="53"/>
      <c r="E4" s="53"/>
      <c r="F4" s="53"/>
      <c r="G4" s="53"/>
      <c r="H4" s="53"/>
    </row>
    <row r="5" spans="1:10">
      <c r="A5" s="210" t="s">
        <v>265</v>
      </c>
      <c r="B5" s="211"/>
      <c r="C5" s="211"/>
      <c r="D5" s="211"/>
      <c r="E5" s="211"/>
      <c r="F5" s="212">
        <v>67326</v>
      </c>
      <c r="G5" s="211"/>
      <c r="H5" s="213">
        <v>59182</v>
      </c>
    </row>
    <row r="6" spans="1:10" ht="15.75" thickBot="1">
      <c r="A6" s="210" t="s">
        <v>266</v>
      </c>
      <c r="B6" s="214"/>
      <c r="C6" s="211"/>
      <c r="D6" s="214"/>
      <c r="E6" s="211"/>
      <c r="F6" s="215">
        <v>-30550</v>
      </c>
      <c r="G6" s="216"/>
      <c r="H6" s="215">
        <v>-27197</v>
      </c>
      <c r="I6" s="103">
        <f>H6/H5</f>
        <v>-0.45954851137170083</v>
      </c>
      <c r="J6" s="103">
        <f>F6/F5</f>
        <v>-0.45376229094257792</v>
      </c>
    </row>
    <row r="7" spans="1:10">
      <c r="A7" s="205"/>
      <c r="B7" s="211"/>
      <c r="C7" s="211"/>
      <c r="D7" s="211"/>
      <c r="E7" s="211"/>
      <c r="F7" s="212"/>
      <c r="G7" s="211"/>
      <c r="H7" s="211"/>
    </row>
    <row r="8" spans="1:10">
      <c r="A8" s="217" t="s">
        <v>256</v>
      </c>
      <c r="B8" s="211"/>
      <c r="C8" s="211"/>
      <c r="D8" s="211"/>
      <c r="E8" s="211"/>
      <c r="F8" s="212">
        <f>SUM(F5:F7)</f>
        <v>36776</v>
      </c>
      <c r="G8" s="211"/>
      <c r="H8" s="212">
        <f>SUM(H5:H7)</f>
        <v>31985</v>
      </c>
      <c r="I8" s="103">
        <f>H8/$H$5</f>
        <v>0.54045148862829917</v>
      </c>
      <c r="J8" s="103">
        <f>F8/$F$5</f>
        <v>0.54623770905742208</v>
      </c>
    </row>
    <row r="9" spans="1:10">
      <c r="A9" s="210" t="s">
        <v>267</v>
      </c>
      <c r="B9" s="216"/>
      <c r="C9" s="216"/>
      <c r="D9" s="216"/>
      <c r="E9" s="216"/>
      <c r="F9" s="216">
        <v>-24076</v>
      </c>
      <c r="G9" s="216"/>
      <c r="H9" s="216">
        <v>-23110</v>
      </c>
      <c r="I9" s="103">
        <f t="shared" ref="I9:I25" si="0">H9/$H$5</f>
        <v>-0.39049035179615421</v>
      </c>
      <c r="J9" s="103">
        <f t="shared" ref="J9:J25" si="1">F9/$F$5</f>
        <v>-0.35760330333006562</v>
      </c>
    </row>
    <row r="10" spans="1:10">
      <c r="A10" s="210" t="s">
        <v>268</v>
      </c>
      <c r="B10" s="216">
        <v>-235</v>
      </c>
      <c r="C10" s="216"/>
      <c r="D10" s="218">
        <v>-212</v>
      </c>
      <c r="E10" s="216"/>
      <c r="F10" s="216">
        <v>-8784</v>
      </c>
      <c r="G10" s="216"/>
      <c r="H10" s="216">
        <v>-9158</v>
      </c>
      <c r="I10" s="103">
        <f t="shared" si="0"/>
        <v>-0.15474299618127133</v>
      </c>
      <c r="J10" s="103">
        <f t="shared" si="1"/>
        <v>-0.13046965511095268</v>
      </c>
    </row>
    <row r="11" spans="1:10">
      <c r="A11" s="210" t="s">
        <v>269</v>
      </c>
      <c r="B11" s="216">
        <v>0</v>
      </c>
      <c r="C11" s="216"/>
      <c r="D11" s="218"/>
      <c r="E11" s="216"/>
      <c r="F11" s="216">
        <v>-5400</v>
      </c>
      <c r="G11" s="216"/>
      <c r="H11" s="216">
        <v>-5783</v>
      </c>
      <c r="I11" s="103">
        <f t="shared" si="0"/>
        <v>-9.7715521611300732E-2</v>
      </c>
      <c r="J11" s="103">
        <f t="shared" si="1"/>
        <v>-8.020675519115944E-2</v>
      </c>
    </row>
    <row r="12" spans="1:10" ht="15.75" thickBot="1">
      <c r="A12" s="210" t="s">
        <v>270</v>
      </c>
      <c r="B12" s="215">
        <v>-5189</v>
      </c>
      <c r="C12" s="219"/>
      <c r="D12" s="220">
        <v>-7607</v>
      </c>
      <c r="E12" s="211"/>
      <c r="F12" s="221"/>
      <c r="G12" s="211"/>
      <c r="H12" s="214"/>
      <c r="I12" s="103">
        <f t="shared" si="0"/>
        <v>0</v>
      </c>
      <c r="J12" s="103">
        <f t="shared" si="1"/>
        <v>0</v>
      </c>
    </row>
    <row r="13" spans="1:10">
      <c r="A13" s="205"/>
      <c r="B13" s="212"/>
      <c r="C13" s="219"/>
      <c r="D13" s="212"/>
      <c r="E13" s="211"/>
      <c r="F13" s="212"/>
      <c r="G13" s="211"/>
      <c r="H13" s="211"/>
      <c r="I13" s="103">
        <f t="shared" si="0"/>
        <v>0</v>
      </c>
      <c r="J13" s="103">
        <f t="shared" si="1"/>
        <v>0</v>
      </c>
    </row>
    <row r="14" spans="1:10">
      <c r="A14" s="217" t="s">
        <v>271</v>
      </c>
      <c r="B14" s="216">
        <f>SUM(B8:B12)</f>
        <v>-5424</v>
      </c>
      <c r="C14" s="216"/>
      <c r="D14" s="216">
        <f>SUM(D8:D12)</f>
        <v>-7819</v>
      </c>
      <c r="E14" s="216"/>
      <c r="F14" s="216">
        <f>SUM(F8:F12)</f>
        <v>-1484</v>
      </c>
      <c r="G14" s="216"/>
      <c r="H14" s="216">
        <f>SUM(H8:H12)</f>
        <v>-6066</v>
      </c>
      <c r="I14" s="103">
        <f t="shared" si="0"/>
        <v>-0.10249738096042715</v>
      </c>
      <c r="J14" s="103">
        <f t="shared" si="1"/>
        <v>-2.2042004574755667E-2</v>
      </c>
    </row>
    <row r="15" spans="1:10">
      <c r="A15" s="210" t="s">
        <v>257</v>
      </c>
      <c r="B15" s="216">
        <v>21</v>
      </c>
      <c r="C15" s="216"/>
      <c r="D15" s="222">
        <v>98</v>
      </c>
      <c r="E15" s="216"/>
      <c r="F15" s="216">
        <v>6370</v>
      </c>
      <c r="G15" s="216"/>
      <c r="H15" s="223">
        <v>3957</v>
      </c>
      <c r="I15" s="103">
        <f t="shared" si="0"/>
        <v>6.6861545740258863E-2</v>
      </c>
      <c r="J15" s="103">
        <f t="shared" si="1"/>
        <v>9.4614264919941779E-2</v>
      </c>
    </row>
    <row r="16" spans="1:10" ht="15.75" thickBot="1">
      <c r="A16" s="210" t="s">
        <v>258</v>
      </c>
      <c r="B16" s="215"/>
      <c r="C16" s="216"/>
      <c r="D16" s="215"/>
      <c r="E16" s="216"/>
      <c r="F16" s="215">
        <v>-8870</v>
      </c>
      <c r="G16" s="216"/>
      <c r="H16" s="215">
        <v>-2569</v>
      </c>
      <c r="I16" s="103">
        <f t="shared" si="0"/>
        <v>-4.3408468791186511E-2</v>
      </c>
      <c r="J16" s="103">
        <f t="shared" si="1"/>
        <v>-0.13174702195288596</v>
      </c>
    </row>
    <row r="17" spans="1:10">
      <c r="A17" s="205"/>
      <c r="B17" s="212"/>
      <c r="C17" s="219"/>
      <c r="D17" s="212"/>
      <c r="E17" s="211"/>
      <c r="F17" s="212"/>
      <c r="G17" s="211"/>
      <c r="H17" s="211"/>
      <c r="I17" s="103">
        <f t="shared" si="0"/>
        <v>0</v>
      </c>
      <c r="J17" s="103">
        <f t="shared" si="1"/>
        <v>0</v>
      </c>
    </row>
    <row r="18" spans="1:10" ht="15.75" thickBot="1">
      <c r="A18" s="217" t="s">
        <v>272</v>
      </c>
      <c r="B18" s="221">
        <f>SUM(B15:B16)</f>
        <v>21</v>
      </c>
      <c r="C18" s="219"/>
      <c r="D18" s="221">
        <f>SUM(D15:D16)</f>
        <v>98</v>
      </c>
      <c r="E18" s="211"/>
      <c r="F18" s="221">
        <f>SUM(F15:F16)</f>
        <v>-2500</v>
      </c>
      <c r="G18" s="211"/>
      <c r="H18" s="221">
        <f>SUM(H15:H16)</f>
        <v>1388</v>
      </c>
      <c r="I18" s="103">
        <f t="shared" si="0"/>
        <v>2.3453076949072352E-2</v>
      </c>
      <c r="J18" s="103">
        <f t="shared" si="1"/>
        <v>-3.7132757032944184E-2</v>
      </c>
    </row>
    <row r="19" spans="1:10">
      <c r="A19" s="205"/>
      <c r="B19" s="212"/>
      <c r="C19" s="219"/>
      <c r="D19" s="212"/>
      <c r="E19" s="211"/>
      <c r="F19" s="212"/>
      <c r="G19" s="211"/>
      <c r="H19" s="211"/>
      <c r="I19" s="103">
        <f t="shared" si="0"/>
        <v>0</v>
      </c>
      <c r="J19" s="103">
        <f t="shared" si="1"/>
        <v>0</v>
      </c>
    </row>
    <row r="20" spans="1:10">
      <c r="A20" s="217" t="s">
        <v>259</v>
      </c>
      <c r="B20" s="216">
        <f>B14+B18</f>
        <v>-5403</v>
      </c>
      <c r="C20" s="216"/>
      <c r="D20" s="216">
        <f>D14+D18</f>
        <v>-7721</v>
      </c>
      <c r="E20" s="216"/>
      <c r="F20" s="216">
        <f>F14+F18</f>
        <v>-3984</v>
      </c>
      <c r="G20" s="216"/>
      <c r="H20" s="216">
        <f>H14+H18</f>
        <v>-4678</v>
      </c>
      <c r="I20" s="103">
        <f t="shared" si="0"/>
        <v>-7.9044304011354802E-2</v>
      </c>
      <c r="J20" s="103">
        <f t="shared" si="1"/>
        <v>-5.9174761607699848E-2</v>
      </c>
    </row>
    <row r="21" spans="1:10">
      <c r="A21" s="210" t="s">
        <v>260</v>
      </c>
      <c r="B21" s="216"/>
      <c r="C21" s="216"/>
      <c r="D21" s="216"/>
      <c r="E21" s="216"/>
      <c r="F21" s="216"/>
      <c r="G21" s="216"/>
      <c r="H21" s="216"/>
      <c r="I21" s="103">
        <f t="shared" si="0"/>
        <v>0</v>
      </c>
      <c r="J21" s="103">
        <f t="shared" si="1"/>
        <v>0</v>
      </c>
    </row>
    <row r="22" spans="1:10">
      <c r="A22" s="210" t="s">
        <v>273</v>
      </c>
      <c r="B22" s="216"/>
      <c r="C22" s="216"/>
      <c r="D22" s="216"/>
      <c r="E22" s="216"/>
      <c r="F22" s="216">
        <v>-2049</v>
      </c>
      <c r="G22" s="216"/>
      <c r="H22" s="223">
        <v>-921</v>
      </c>
      <c r="I22" s="103">
        <f t="shared" si="0"/>
        <v>-1.5562164171538644E-2</v>
      </c>
      <c r="J22" s="103">
        <f t="shared" si="1"/>
        <v>-3.0434007664201051E-2</v>
      </c>
    </row>
    <row r="23" spans="1:10" ht="15.75" thickBot="1">
      <c r="A23" s="210" t="s">
        <v>274</v>
      </c>
      <c r="B23" s="215"/>
      <c r="C23" s="216"/>
      <c r="D23" s="215"/>
      <c r="E23" s="216"/>
      <c r="F23" s="215">
        <v>615</v>
      </c>
      <c r="G23" s="216"/>
      <c r="H23" s="215">
        <v>-2163</v>
      </c>
      <c r="I23" s="103">
        <f t="shared" si="0"/>
        <v>-3.6548274813287825E-2</v>
      </c>
      <c r="J23" s="103">
        <f t="shared" si="1"/>
        <v>9.1346582301042693E-3</v>
      </c>
    </row>
    <row r="24" spans="1:10">
      <c r="A24" s="205"/>
      <c r="B24" s="212"/>
      <c r="C24" s="219"/>
      <c r="D24" s="212"/>
      <c r="E24" s="211"/>
      <c r="F24" s="212"/>
      <c r="G24" s="211"/>
      <c r="H24" s="211"/>
      <c r="I24" s="103">
        <f t="shared" si="0"/>
        <v>0</v>
      </c>
      <c r="J24" s="103">
        <f t="shared" si="1"/>
        <v>0</v>
      </c>
    </row>
    <row r="25" spans="1:10" ht="15.75" thickBot="1">
      <c r="A25" s="217" t="s">
        <v>275</v>
      </c>
      <c r="B25" s="224">
        <f>SUM(B20:B24)</f>
        <v>-5403</v>
      </c>
      <c r="C25" s="219"/>
      <c r="D25" s="224">
        <f>SUM(D20:D24)</f>
        <v>-7721</v>
      </c>
      <c r="E25" s="211"/>
      <c r="F25" s="224">
        <f>SUM(F20:F24)</f>
        <v>-5418</v>
      </c>
      <c r="G25" s="211"/>
      <c r="H25" s="224">
        <f>SUM(H20:H24)</f>
        <v>-7762</v>
      </c>
      <c r="I25" s="103">
        <f t="shared" si="0"/>
        <v>-0.13115474299618127</v>
      </c>
      <c r="J25" s="103">
        <f t="shared" si="1"/>
        <v>-8.0474111041796637E-2</v>
      </c>
    </row>
    <row r="26" spans="1:10" ht="15.75" thickTop="1">
      <c r="A26" s="205"/>
      <c r="B26" s="212"/>
      <c r="C26" s="219"/>
      <c r="D26" s="212"/>
      <c r="E26" s="211"/>
      <c r="F26" s="212"/>
      <c r="G26" s="211"/>
      <c r="H26" s="211"/>
    </row>
    <row r="27" spans="1:10">
      <c r="A27" s="205"/>
      <c r="B27" s="212"/>
      <c r="C27" s="219"/>
      <c r="D27" s="212"/>
      <c r="E27" s="211"/>
      <c r="F27" s="211"/>
      <c r="G27" s="211"/>
      <c r="H27" s="211"/>
    </row>
    <row r="28" spans="1:10">
      <c r="A28" s="217" t="s">
        <v>261</v>
      </c>
      <c r="B28" s="412"/>
      <c r="C28" s="413"/>
      <c r="D28" s="412"/>
      <c r="E28" s="409"/>
      <c r="F28" s="216"/>
      <c r="G28" s="216"/>
      <c r="H28" s="216"/>
    </row>
    <row r="29" spans="1:10">
      <c r="A29" s="217"/>
      <c r="B29" s="412"/>
      <c r="C29" s="413"/>
      <c r="D29" s="412"/>
      <c r="E29" s="409"/>
      <c r="F29" s="216"/>
      <c r="G29" s="216"/>
      <c r="H29" s="216"/>
    </row>
    <row r="30" spans="1:10">
      <c r="A30" s="210" t="s">
        <v>262</v>
      </c>
      <c r="B30" s="412"/>
      <c r="C30" s="413"/>
      <c r="D30" s="412"/>
      <c r="E30" s="409"/>
      <c r="F30" s="216">
        <v>-5403</v>
      </c>
      <c r="G30" s="216"/>
      <c r="H30" s="213">
        <v>-7721</v>
      </c>
    </row>
    <row r="31" spans="1:10">
      <c r="A31" s="210" t="s">
        <v>69</v>
      </c>
      <c r="B31" s="225"/>
      <c r="C31" s="226"/>
      <c r="D31" s="225"/>
      <c r="E31" s="53"/>
      <c r="F31" s="216">
        <v>-15</v>
      </c>
      <c r="G31" s="216"/>
      <c r="H31" s="218">
        <v>-41</v>
      </c>
    </row>
    <row r="32" spans="1:10" ht="15.75" thickBot="1">
      <c r="A32" s="205"/>
      <c r="B32" s="225"/>
      <c r="C32" s="226"/>
      <c r="D32" s="225"/>
      <c r="E32" s="53"/>
      <c r="F32" s="227"/>
      <c r="G32" s="53"/>
      <c r="H32" s="227"/>
    </row>
    <row r="33" spans="1:16">
      <c r="A33" s="205"/>
      <c r="B33" s="225"/>
      <c r="C33" s="226"/>
      <c r="D33" s="225"/>
      <c r="E33" s="53"/>
      <c r="F33" s="53"/>
      <c r="G33" s="53"/>
      <c r="H33" s="53"/>
    </row>
    <row r="34" spans="1:16" ht="15.75" thickBot="1">
      <c r="A34" s="205"/>
      <c r="B34" s="225"/>
      <c r="C34" s="226"/>
      <c r="D34" s="225"/>
      <c r="E34" s="53"/>
      <c r="F34" s="228">
        <f>SUM(F28:F32)</f>
        <v>-5418</v>
      </c>
      <c r="G34" s="53"/>
      <c r="H34" s="228">
        <f>SUM(H28:H32)</f>
        <v>-7762</v>
      </c>
    </row>
    <row r="35" spans="1:16" ht="109.5" customHeight="1" thickTop="1">
      <c r="A35" s="206" t="s">
        <v>276</v>
      </c>
      <c r="B35" s="225"/>
      <c r="C35" s="226"/>
      <c r="D35" s="225"/>
      <c r="E35" s="53"/>
      <c r="F35" s="53"/>
      <c r="G35" s="53"/>
      <c r="H35" s="53"/>
    </row>
    <row r="36" spans="1:16" ht="48.75" customHeight="1">
      <c r="A36" s="206" t="s">
        <v>277</v>
      </c>
      <c r="B36" s="225"/>
      <c r="C36" s="226"/>
      <c r="D36" s="225"/>
      <c r="E36" s="53"/>
      <c r="F36" s="53"/>
      <c r="G36" s="53"/>
      <c r="H36" s="53"/>
    </row>
    <row r="37" spans="1:16">
      <c r="A37" s="53"/>
      <c r="B37" s="225"/>
      <c r="C37" s="226"/>
      <c r="D37" s="225"/>
      <c r="E37" s="53"/>
      <c r="F37" s="53"/>
      <c r="G37" s="53"/>
      <c r="H37" s="53"/>
      <c r="L37" t="s">
        <v>278</v>
      </c>
    </row>
    <row r="38" spans="1:16">
      <c r="A38" s="217" t="s">
        <v>279</v>
      </c>
      <c r="B38" s="225"/>
      <c r="C38" s="226"/>
      <c r="D38" s="225"/>
      <c r="E38" s="53"/>
      <c r="F38" s="53"/>
      <c r="G38" s="53"/>
      <c r="H38" s="53"/>
      <c r="L38" t="s">
        <v>280</v>
      </c>
      <c r="N38" s="204">
        <v>77473553.7675841</v>
      </c>
      <c r="O38" t="s">
        <v>281</v>
      </c>
      <c r="P38" s="229">
        <v>41639</v>
      </c>
    </row>
    <row r="39" spans="1:16" ht="15.75" thickBot="1">
      <c r="A39" s="210" t="s">
        <v>282</v>
      </c>
      <c r="B39" s="225"/>
      <c r="C39" s="226"/>
      <c r="D39" s="225"/>
      <c r="E39" s="53"/>
      <c r="F39" s="230">
        <f>F30/(N38/1000)</f>
        <v>-6.973992720417431E-2</v>
      </c>
      <c r="G39" s="53"/>
      <c r="H39" s="231">
        <v>-0.108</v>
      </c>
      <c r="L39" t="s">
        <v>283</v>
      </c>
      <c r="N39" s="204"/>
    </row>
    <row r="40" spans="1:16" ht="15.75" thickTop="1">
      <c r="A40" s="205"/>
      <c r="B40" s="53"/>
      <c r="C40" s="53"/>
      <c r="D40" s="53"/>
      <c r="E40" s="53"/>
      <c r="F40" s="232"/>
      <c r="G40" s="53"/>
      <c r="H40" s="53"/>
      <c r="L40" t="s">
        <v>284</v>
      </c>
      <c r="N40" s="204">
        <v>3050178.8136986303</v>
      </c>
    </row>
    <row r="41" spans="1:16">
      <c r="A41" s="217" t="s">
        <v>285</v>
      </c>
      <c r="B41" s="53"/>
      <c r="C41" s="53"/>
      <c r="D41" s="53"/>
      <c r="E41" s="53"/>
      <c r="F41" s="232"/>
      <c r="G41" s="53"/>
      <c r="H41" s="53"/>
    </row>
    <row r="42" spans="1:16" ht="15.75" thickBot="1">
      <c r="A42" s="210" t="s">
        <v>286</v>
      </c>
      <c r="B42" s="53"/>
      <c r="C42" s="53"/>
      <c r="D42" s="53"/>
      <c r="E42" s="53"/>
      <c r="F42" s="230">
        <f>F30/(N42/1000)</f>
        <v>-6.7098230879276147E-2</v>
      </c>
      <c r="G42" s="53"/>
      <c r="H42" s="231">
        <v>-9.6000000000000002E-2</v>
      </c>
      <c r="L42" t="s">
        <v>287</v>
      </c>
      <c r="N42" s="233">
        <f>SUM(N38:N40)</f>
        <v>80523732.581282735</v>
      </c>
    </row>
    <row r="43" spans="1:16" ht="15.75" thickTop="1">
      <c r="F43" s="234"/>
    </row>
    <row r="44" spans="1:16">
      <c r="F44" s="234"/>
      <c r="L44" t="s">
        <v>288</v>
      </c>
      <c r="N44" s="235">
        <f>G36/(N38/1000)</f>
        <v>0</v>
      </c>
    </row>
    <row r="45" spans="1:16">
      <c r="L45" t="s">
        <v>289</v>
      </c>
      <c r="N45" s="235">
        <f>G36/(N42/1000)</f>
        <v>0</v>
      </c>
    </row>
  </sheetData>
  <mergeCells count="6">
    <mergeCell ref="B1:D1"/>
    <mergeCell ref="F1:H1"/>
    <mergeCell ref="B28:B30"/>
    <mergeCell ref="C28:C30"/>
    <mergeCell ref="D28:D30"/>
    <mergeCell ref="E28:E30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AK273"/>
  <sheetViews>
    <sheetView workbookViewId="0">
      <selection activeCell="A29" sqref="A29"/>
    </sheetView>
  </sheetViews>
  <sheetFormatPr defaultColWidth="9.140625" defaultRowHeight="12.75"/>
  <cols>
    <col min="1" max="1" width="56.85546875" style="105" bestFit="1" customWidth="1"/>
    <col min="2" max="2" width="2.85546875" style="105" customWidth="1"/>
    <col min="3" max="3" width="10.85546875" style="105" bestFit="1" customWidth="1"/>
    <col min="4" max="4" width="7.5703125" style="105" bestFit="1" customWidth="1"/>
    <col min="5" max="5" width="9.140625" style="105" bestFit="1" customWidth="1"/>
    <col min="6" max="6" width="9.85546875" style="105" bestFit="1" customWidth="1"/>
    <col min="7" max="7" width="7.140625" style="105" bestFit="1" customWidth="1"/>
    <col min="8" max="8" width="9.140625" style="105" bestFit="1" customWidth="1"/>
    <col min="9" max="9" width="10.140625" style="105" bestFit="1" customWidth="1"/>
    <col min="10" max="10" width="15.85546875" style="105" customWidth="1"/>
    <col min="11" max="11" width="16.5703125" style="105" customWidth="1"/>
    <col min="12" max="12" width="14.5703125" style="105" customWidth="1"/>
    <col min="13" max="14" width="14.5703125" style="105" hidden="1" customWidth="1"/>
    <col min="15" max="15" width="9.140625" style="105" hidden="1" customWidth="1"/>
    <col min="16" max="16" width="15.42578125" style="105" hidden="1" customWidth="1"/>
    <col min="17" max="18" width="9.140625" style="105" hidden="1" customWidth="1"/>
    <col min="19" max="19" width="4.85546875" style="105" hidden="1" customWidth="1"/>
    <col min="20" max="20" width="41.140625" style="105" hidden="1" customWidth="1"/>
    <col min="21" max="21" width="12.85546875" style="105" hidden="1" customWidth="1"/>
    <col min="22" max="22" width="26.140625" style="105" hidden="1" customWidth="1"/>
    <col min="23" max="23" width="4.85546875" style="105" hidden="1" customWidth="1"/>
    <col min="24" max="25" width="11" style="105" hidden="1" customWidth="1"/>
    <col min="26" max="26" width="0" style="105" hidden="1" customWidth="1"/>
    <col min="27" max="27" width="43" style="105" customWidth="1"/>
    <col min="28" max="28" width="4" style="105" customWidth="1"/>
    <col min="29" max="29" width="10.140625" style="105" bestFit="1" customWidth="1"/>
    <col min="30" max="16384" width="9.140625" style="105"/>
  </cols>
  <sheetData>
    <row r="1" spans="1:18">
      <c r="A1" s="184" t="s">
        <v>70</v>
      </c>
      <c r="B1" s="156"/>
      <c r="C1" s="156"/>
      <c r="D1" s="156"/>
      <c r="E1" s="156"/>
      <c r="F1" s="156"/>
      <c r="G1" s="156"/>
      <c r="H1" s="156"/>
      <c r="I1" s="156"/>
      <c r="J1" s="156"/>
      <c r="K1" s="172">
        <v>41743.60204849537</v>
      </c>
      <c r="L1" s="156"/>
      <c r="M1" s="156"/>
      <c r="N1" s="156"/>
      <c r="O1" s="156"/>
      <c r="P1" s="156"/>
      <c r="Q1" s="156"/>
      <c r="R1" s="156"/>
    </row>
    <row r="2" spans="1:18">
      <c r="A2" s="184" t="s">
        <v>71</v>
      </c>
      <c r="B2" s="156"/>
      <c r="C2" s="171">
        <v>41729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>
      <c r="A4" s="156"/>
      <c r="B4" s="156"/>
      <c r="C4" s="197" t="s">
        <v>72</v>
      </c>
      <c r="D4" s="156" t="s">
        <v>73</v>
      </c>
      <c r="E4" s="167" t="s">
        <v>74</v>
      </c>
      <c r="F4" s="167" t="s">
        <v>75</v>
      </c>
      <c r="G4" s="167" t="s">
        <v>76</v>
      </c>
      <c r="H4" s="177" t="s">
        <v>77</v>
      </c>
      <c r="I4" s="156" t="s">
        <v>78</v>
      </c>
      <c r="J4" s="185" t="s">
        <v>79</v>
      </c>
      <c r="K4" s="167" t="s">
        <v>80</v>
      </c>
      <c r="L4" s="156"/>
      <c r="M4" s="156"/>
      <c r="N4" s="156"/>
      <c r="O4" s="156"/>
      <c r="P4" s="156"/>
      <c r="Q4" s="156"/>
      <c r="R4" s="156"/>
    </row>
    <row r="5" spans="1:18">
      <c r="A5" s="156" t="s">
        <v>81</v>
      </c>
      <c r="B5" s="156"/>
      <c r="C5" s="198">
        <v>41729</v>
      </c>
      <c r="D5" s="168">
        <v>41729</v>
      </c>
      <c r="E5" s="194">
        <v>41729</v>
      </c>
      <c r="F5" s="194">
        <v>41729</v>
      </c>
      <c r="G5" s="194">
        <v>41729</v>
      </c>
      <c r="H5" s="194">
        <v>41729</v>
      </c>
      <c r="I5" s="194">
        <v>41729</v>
      </c>
      <c r="J5" s="186" t="s">
        <v>82</v>
      </c>
      <c r="K5" s="169" t="s">
        <v>83</v>
      </c>
      <c r="L5" s="201" t="s">
        <v>84</v>
      </c>
      <c r="M5" s="170" t="s">
        <v>85</v>
      </c>
      <c r="N5" s="170" t="s">
        <v>72</v>
      </c>
      <c r="O5" s="170" t="s">
        <v>86</v>
      </c>
      <c r="P5" s="170" t="s">
        <v>74</v>
      </c>
      <c r="Q5" s="170" t="s">
        <v>87</v>
      </c>
      <c r="R5" s="173" t="s">
        <v>88</v>
      </c>
    </row>
    <row r="7" spans="1:18">
      <c r="A7" s="156"/>
      <c r="B7" s="156"/>
      <c r="C7" s="188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</row>
    <row r="8" spans="1:18">
      <c r="A8" s="156"/>
      <c r="B8" s="157"/>
      <c r="C8" s="157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</row>
    <row r="9" spans="1:18">
      <c r="A9" s="156" t="s">
        <v>89</v>
      </c>
      <c r="B9" s="157"/>
      <c r="C9" s="157">
        <v>47067</v>
      </c>
      <c r="D9" s="157">
        <v>6</v>
      </c>
      <c r="E9" s="157">
        <v>3228</v>
      </c>
      <c r="F9" s="157">
        <v>1623</v>
      </c>
      <c r="G9" s="157">
        <v>-2</v>
      </c>
      <c r="H9" s="157">
        <v>0</v>
      </c>
      <c r="I9" s="157">
        <v>51922</v>
      </c>
      <c r="J9" s="157"/>
      <c r="K9" s="164"/>
      <c r="L9" s="164">
        <v>51922</v>
      </c>
      <c r="M9" s="164"/>
      <c r="N9" s="164">
        <v>47067</v>
      </c>
      <c r="O9" s="164"/>
      <c r="P9" s="164">
        <v>3228</v>
      </c>
      <c r="Q9" s="164"/>
      <c r="R9" s="164">
        <v>1623</v>
      </c>
    </row>
    <row r="10" spans="1:18">
      <c r="A10" s="156" t="s">
        <v>90</v>
      </c>
      <c r="B10" s="157"/>
      <c r="C10" s="188">
        <v>2765</v>
      </c>
      <c r="D10" s="157">
        <v>6</v>
      </c>
      <c r="E10" s="157">
        <v>2436</v>
      </c>
      <c r="F10" s="157">
        <v>1623</v>
      </c>
      <c r="G10" s="157">
        <v>-2</v>
      </c>
      <c r="H10" s="157"/>
      <c r="I10" s="164">
        <v>6828</v>
      </c>
      <c r="J10" s="164"/>
      <c r="K10" s="156"/>
      <c r="L10" s="164">
        <v>6828</v>
      </c>
      <c r="M10" s="164"/>
      <c r="N10" s="164">
        <v>2765</v>
      </c>
      <c r="O10" s="164"/>
      <c r="P10" s="164">
        <v>2436</v>
      </c>
      <c r="Q10" s="164"/>
      <c r="R10" s="164">
        <v>1623</v>
      </c>
    </row>
    <row r="11" spans="1:18">
      <c r="A11" s="156" t="s">
        <v>91</v>
      </c>
      <c r="B11" s="157"/>
      <c r="C11" s="176">
        <v>44302</v>
      </c>
      <c r="D11" s="156"/>
      <c r="E11" s="157">
        <v>792</v>
      </c>
      <c r="F11" s="157"/>
      <c r="G11" s="157"/>
      <c r="H11" s="157"/>
      <c r="I11" s="164">
        <v>45094</v>
      </c>
      <c r="J11" s="164"/>
      <c r="K11" s="156"/>
      <c r="L11" s="164">
        <v>45094</v>
      </c>
      <c r="M11" s="164"/>
      <c r="N11" s="164">
        <v>44302</v>
      </c>
      <c r="O11" s="164"/>
      <c r="P11" s="164">
        <v>792</v>
      </c>
      <c r="Q11" s="164"/>
      <c r="R11" s="164">
        <v>0</v>
      </c>
    </row>
    <row r="12" spans="1:18">
      <c r="A12" s="163" t="s">
        <v>92</v>
      </c>
      <c r="B12" s="157"/>
      <c r="C12" s="157"/>
      <c r="D12" s="156"/>
      <c r="E12" s="157"/>
      <c r="F12" s="157"/>
      <c r="G12" s="157"/>
      <c r="H12" s="157"/>
      <c r="I12" s="164">
        <v>0</v>
      </c>
      <c r="J12" s="164"/>
      <c r="K12" s="156"/>
      <c r="L12" s="164">
        <v>0</v>
      </c>
      <c r="M12" s="164"/>
      <c r="N12" s="164">
        <v>0</v>
      </c>
      <c r="O12" s="164"/>
      <c r="P12" s="164">
        <v>0</v>
      </c>
      <c r="Q12" s="164"/>
      <c r="R12" s="164">
        <v>0</v>
      </c>
    </row>
    <row r="13" spans="1:18">
      <c r="A13" s="156" t="s">
        <v>93</v>
      </c>
      <c r="B13" s="157"/>
      <c r="C13" s="192">
        <v>196506</v>
      </c>
      <c r="D13" s="156"/>
      <c r="E13" s="157">
        <v>2697</v>
      </c>
      <c r="F13" s="156"/>
      <c r="G13" s="157">
        <v>239</v>
      </c>
      <c r="H13" s="157"/>
      <c r="I13" s="164">
        <v>199442</v>
      </c>
      <c r="J13" s="164"/>
      <c r="K13" s="157">
        <v>6013</v>
      </c>
      <c r="L13" s="164">
        <v>193429</v>
      </c>
      <c r="M13" s="164"/>
      <c r="N13" s="164">
        <v>196506</v>
      </c>
      <c r="O13" s="164"/>
      <c r="P13" s="164">
        <v>2697</v>
      </c>
      <c r="Q13" s="164"/>
      <c r="R13" s="164">
        <v>0</v>
      </c>
    </row>
    <row r="14" spans="1:18">
      <c r="A14" s="156" t="s">
        <v>94</v>
      </c>
      <c r="B14" s="157"/>
      <c r="C14" s="192">
        <v>-3365</v>
      </c>
      <c r="D14" s="156"/>
      <c r="E14" s="157"/>
      <c r="F14" s="156"/>
      <c r="G14" s="156"/>
      <c r="H14" s="157"/>
      <c r="I14" s="164">
        <v>-3365</v>
      </c>
      <c r="J14" s="164"/>
      <c r="K14" s="157"/>
      <c r="L14" s="164">
        <v>-3365</v>
      </c>
      <c r="M14" s="164"/>
      <c r="N14" s="164">
        <v>-3365</v>
      </c>
      <c r="O14" s="164"/>
      <c r="P14" s="164">
        <v>0</v>
      </c>
      <c r="Q14" s="164"/>
      <c r="R14" s="164">
        <v>0</v>
      </c>
    </row>
    <row r="15" spans="1:18">
      <c r="A15" s="156" t="s">
        <v>95</v>
      </c>
      <c r="B15" s="157"/>
      <c r="C15" s="203">
        <v>181336</v>
      </c>
      <c r="D15" s="156"/>
      <c r="E15" s="157">
        <v>4930</v>
      </c>
      <c r="F15" s="156"/>
      <c r="G15" s="156"/>
      <c r="H15" s="157"/>
      <c r="I15" s="164">
        <v>186266</v>
      </c>
      <c r="J15" s="164">
        <v>0</v>
      </c>
      <c r="K15" s="176">
        <v>2470</v>
      </c>
      <c r="L15" s="164">
        <v>183796</v>
      </c>
      <c r="M15" s="164"/>
      <c r="N15" s="164">
        <v>181336</v>
      </c>
      <c r="O15" s="164"/>
      <c r="P15" s="164">
        <v>4930</v>
      </c>
      <c r="Q15" s="164"/>
      <c r="R15" s="164">
        <v>0</v>
      </c>
    </row>
    <row r="16" spans="1:18">
      <c r="A16" s="156" t="s">
        <v>96</v>
      </c>
      <c r="B16" s="157"/>
      <c r="C16" s="176">
        <v>12573</v>
      </c>
      <c r="D16" s="156"/>
      <c r="E16" s="157">
        <v>469</v>
      </c>
      <c r="F16" s="157">
        <v>1073</v>
      </c>
      <c r="G16" s="157">
        <v>9</v>
      </c>
      <c r="H16" s="157"/>
      <c r="I16" s="164">
        <v>14124</v>
      </c>
      <c r="J16" s="164"/>
      <c r="K16" s="157"/>
      <c r="L16" s="164">
        <v>14124</v>
      </c>
      <c r="M16" s="164"/>
      <c r="N16" s="164">
        <v>12573</v>
      </c>
      <c r="O16" s="164"/>
      <c r="P16" s="164">
        <v>469</v>
      </c>
      <c r="Q16" s="164"/>
      <c r="R16" s="164">
        <v>1073</v>
      </c>
    </row>
    <row r="17" spans="1:18">
      <c r="A17" s="163" t="s">
        <v>97</v>
      </c>
      <c r="B17" s="157"/>
      <c r="C17" s="176"/>
      <c r="D17" s="156"/>
      <c r="E17" s="157"/>
      <c r="F17" s="156"/>
      <c r="G17" s="157"/>
      <c r="H17" s="157"/>
      <c r="I17" s="164">
        <v>0</v>
      </c>
      <c r="J17" s="164"/>
      <c r="K17" s="157"/>
      <c r="L17" s="164">
        <v>0</v>
      </c>
      <c r="M17" s="164"/>
      <c r="N17" s="164">
        <v>0</v>
      </c>
      <c r="O17" s="164"/>
      <c r="P17" s="164">
        <v>0</v>
      </c>
      <c r="Q17" s="164"/>
      <c r="R17" s="164">
        <v>0</v>
      </c>
    </row>
    <row r="18" spans="1:18">
      <c r="A18" s="156" t="s">
        <v>98</v>
      </c>
      <c r="B18" s="157"/>
      <c r="C18" s="174">
        <v>4454</v>
      </c>
      <c r="D18" s="156"/>
      <c r="E18" s="157"/>
      <c r="F18" s="156"/>
      <c r="G18" s="157"/>
      <c r="H18" s="157"/>
      <c r="I18" s="164">
        <v>4454</v>
      </c>
      <c r="J18" s="164"/>
      <c r="K18" s="157"/>
      <c r="L18" s="164">
        <v>4454</v>
      </c>
      <c r="M18" s="164"/>
      <c r="N18" s="164">
        <v>4454</v>
      </c>
      <c r="O18" s="164"/>
      <c r="P18" s="164">
        <v>0</v>
      </c>
      <c r="Q18" s="164"/>
      <c r="R18" s="164">
        <v>0</v>
      </c>
    </row>
    <row r="19" spans="1:18">
      <c r="A19" s="156" t="s">
        <v>99</v>
      </c>
      <c r="B19" s="157"/>
      <c r="C19" s="176">
        <v>31914</v>
      </c>
      <c r="D19" s="156"/>
      <c r="E19" s="157">
        <v>618</v>
      </c>
      <c r="F19" s="164">
        <v>2128</v>
      </c>
      <c r="G19" s="157"/>
      <c r="H19" s="157"/>
      <c r="I19" s="164">
        <v>34660</v>
      </c>
      <c r="J19" s="164"/>
      <c r="K19" s="157">
        <v>10979</v>
      </c>
      <c r="L19" s="164">
        <v>23681</v>
      </c>
      <c r="M19" s="164"/>
      <c r="N19" s="164">
        <v>31914</v>
      </c>
      <c r="O19" s="164"/>
      <c r="P19" s="164">
        <v>618</v>
      </c>
      <c r="Q19" s="164"/>
      <c r="R19" s="164">
        <v>2128</v>
      </c>
    </row>
    <row r="20" spans="1:18">
      <c r="A20" s="163" t="s">
        <v>100</v>
      </c>
      <c r="B20" s="157"/>
      <c r="C20" s="178"/>
      <c r="D20" s="166"/>
      <c r="E20" s="158"/>
      <c r="F20" s="178">
        <v>14470</v>
      </c>
      <c r="G20" s="158"/>
      <c r="H20" s="158"/>
      <c r="I20" s="165">
        <v>14470</v>
      </c>
      <c r="J20" s="165"/>
      <c r="K20" s="178">
        <v>14470</v>
      </c>
      <c r="L20" s="165">
        <v>0</v>
      </c>
      <c r="M20" s="166"/>
      <c r="N20" s="165">
        <v>0</v>
      </c>
      <c r="O20" s="158"/>
      <c r="P20" s="165">
        <v>0</v>
      </c>
      <c r="Q20" s="158"/>
      <c r="R20" s="165">
        <v>14470</v>
      </c>
    </row>
    <row r="21" spans="1:18">
      <c r="A21" s="156" t="s">
        <v>101</v>
      </c>
      <c r="B21" s="157"/>
      <c r="C21" s="176">
        <v>470485</v>
      </c>
      <c r="D21" s="157">
        <v>6</v>
      </c>
      <c r="E21" s="157">
        <v>11942</v>
      </c>
      <c r="F21" s="157">
        <v>19294</v>
      </c>
      <c r="G21" s="157">
        <v>246</v>
      </c>
      <c r="H21" s="157">
        <v>0</v>
      </c>
      <c r="I21" s="157">
        <v>501973</v>
      </c>
      <c r="J21" s="157">
        <v>0</v>
      </c>
      <c r="K21" s="157">
        <v>33932</v>
      </c>
      <c r="L21" s="157">
        <v>468041</v>
      </c>
      <c r="M21" s="157">
        <v>0</v>
      </c>
      <c r="N21" s="157">
        <v>470485</v>
      </c>
      <c r="O21" s="157">
        <v>0</v>
      </c>
      <c r="P21" s="157">
        <v>11942</v>
      </c>
      <c r="Q21" s="157">
        <v>0</v>
      </c>
      <c r="R21" s="157">
        <v>19294</v>
      </c>
    </row>
    <row r="22" spans="1:18">
      <c r="A22" s="156"/>
      <c r="B22" s="157"/>
      <c r="C22" s="176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</row>
    <row r="23" spans="1:18">
      <c r="A23" s="156" t="s">
        <v>102</v>
      </c>
      <c r="B23" s="157"/>
      <c r="C23" s="176">
        <v>8625</v>
      </c>
      <c r="D23" s="156"/>
      <c r="E23" s="157"/>
      <c r="F23" s="156"/>
      <c r="G23" s="157"/>
      <c r="H23" s="157"/>
      <c r="I23" s="164">
        <v>8625</v>
      </c>
      <c r="J23" s="164"/>
      <c r="K23" s="157"/>
      <c r="L23" s="164">
        <v>8625</v>
      </c>
      <c r="M23" s="156"/>
      <c r="N23" s="164">
        <v>8625</v>
      </c>
      <c r="O23" s="156"/>
      <c r="P23" s="164">
        <v>0</v>
      </c>
      <c r="Q23" s="156"/>
      <c r="R23" s="164">
        <v>0</v>
      </c>
    </row>
    <row r="24" spans="1:18">
      <c r="A24" s="163" t="s">
        <v>103</v>
      </c>
      <c r="B24" s="157"/>
      <c r="C24" s="176">
        <v>4570</v>
      </c>
      <c r="D24" s="156"/>
      <c r="E24" s="157"/>
      <c r="F24" s="157"/>
      <c r="G24" s="157"/>
      <c r="H24" s="157"/>
      <c r="I24" s="164">
        <v>4570</v>
      </c>
      <c r="J24" s="164"/>
      <c r="K24" s="157"/>
      <c r="L24" s="164">
        <v>4570</v>
      </c>
      <c r="M24" s="156"/>
      <c r="N24" s="164">
        <v>4570</v>
      </c>
      <c r="O24" s="156"/>
      <c r="P24" s="164">
        <v>0</v>
      </c>
      <c r="Q24" s="156"/>
      <c r="R24" s="164">
        <v>0</v>
      </c>
    </row>
    <row r="25" spans="1:18">
      <c r="A25" s="156" t="s">
        <v>104</v>
      </c>
      <c r="B25" s="156"/>
      <c r="C25" s="176">
        <v>24707</v>
      </c>
      <c r="D25" s="163"/>
      <c r="E25" s="157"/>
      <c r="F25" s="156"/>
      <c r="G25" s="157"/>
      <c r="H25" s="157"/>
      <c r="I25" s="164">
        <v>24707</v>
      </c>
      <c r="J25" s="164"/>
      <c r="K25" s="156"/>
      <c r="L25" s="164">
        <v>24707</v>
      </c>
      <c r="M25" s="164"/>
      <c r="N25" s="164">
        <v>24707</v>
      </c>
      <c r="O25" s="164"/>
      <c r="P25" s="164">
        <v>0</v>
      </c>
      <c r="Q25" s="164"/>
      <c r="R25" s="164">
        <v>0</v>
      </c>
    </row>
    <row r="26" spans="1:18">
      <c r="A26" s="163" t="s">
        <v>105</v>
      </c>
      <c r="B26" s="157"/>
      <c r="C26" s="192">
        <v>7806</v>
      </c>
      <c r="D26" s="156"/>
      <c r="E26" s="157"/>
      <c r="F26" s="156"/>
      <c r="G26" s="157"/>
      <c r="H26" s="157"/>
      <c r="I26" s="164">
        <v>7806</v>
      </c>
      <c r="J26" s="164"/>
      <c r="K26" s="156"/>
      <c r="L26" s="164">
        <v>7806</v>
      </c>
      <c r="M26" s="164"/>
      <c r="N26" s="164">
        <v>7806</v>
      </c>
      <c r="O26" s="164"/>
      <c r="P26" s="164">
        <v>0</v>
      </c>
      <c r="Q26" s="164"/>
      <c r="R26" s="164">
        <v>0</v>
      </c>
    </row>
    <row r="27" spans="1:18">
      <c r="A27" s="156" t="s">
        <v>106</v>
      </c>
      <c r="B27" s="157"/>
      <c r="C27" s="176">
        <v>246</v>
      </c>
      <c r="D27" s="156"/>
      <c r="E27" s="157">
        <v>9</v>
      </c>
      <c r="F27" s="156"/>
      <c r="G27" s="157"/>
      <c r="H27" s="157"/>
      <c r="I27" s="164">
        <v>255</v>
      </c>
      <c r="J27" s="164"/>
      <c r="K27" s="156"/>
      <c r="L27" s="164">
        <v>255</v>
      </c>
      <c r="M27" s="164"/>
      <c r="N27" s="164">
        <v>246</v>
      </c>
      <c r="O27" s="164"/>
      <c r="P27" s="164">
        <v>9</v>
      </c>
      <c r="Q27" s="164"/>
      <c r="R27" s="164">
        <v>0</v>
      </c>
    </row>
    <row r="28" spans="1:18">
      <c r="A28" s="163" t="s">
        <v>107</v>
      </c>
      <c r="B28" s="157"/>
      <c r="C28" s="176">
        <v>2144</v>
      </c>
      <c r="D28" s="156"/>
      <c r="E28" s="157"/>
      <c r="F28" s="156"/>
      <c r="G28" s="157"/>
      <c r="H28" s="157"/>
      <c r="I28" s="164">
        <v>2144</v>
      </c>
      <c r="J28" s="164"/>
      <c r="K28" s="156"/>
      <c r="L28" s="164">
        <v>2144</v>
      </c>
      <c r="M28" s="164"/>
      <c r="N28" s="164">
        <v>2144</v>
      </c>
      <c r="O28" s="164"/>
      <c r="P28" s="164">
        <v>0</v>
      </c>
      <c r="Q28" s="164"/>
      <c r="R28" s="164">
        <v>0</v>
      </c>
    </row>
    <row r="29" spans="1:18">
      <c r="A29" s="163" t="s">
        <v>108</v>
      </c>
      <c r="B29" s="157"/>
      <c r="C29" s="178"/>
      <c r="D29" s="166"/>
      <c r="E29" s="158"/>
      <c r="F29" s="166"/>
      <c r="G29" s="158"/>
      <c r="H29" s="158"/>
      <c r="I29" s="165">
        <v>0</v>
      </c>
      <c r="J29" s="165"/>
      <c r="K29" s="166"/>
      <c r="L29" s="165">
        <v>0</v>
      </c>
      <c r="M29" s="165"/>
      <c r="N29" s="165">
        <v>0</v>
      </c>
      <c r="O29" s="165"/>
      <c r="P29" s="165">
        <v>0</v>
      </c>
      <c r="Q29" s="165"/>
      <c r="R29" s="165">
        <v>0</v>
      </c>
    </row>
    <row r="30" spans="1:18">
      <c r="A30" s="156" t="s">
        <v>109</v>
      </c>
      <c r="B30" s="157"/>
      <c r="C30" s="176">
        <v>48098</v>
      </c>
      <c r="D30" s="157">
        <v>0</v>
      </c>
      <c r="E30" s="157">
        <v>9</v>
      </c>
      <c r="F30" s="157">
        <v>0</v>
      </c>
      <c r="G30" s="157"/>
      <c r="H30" s="157">
        <v>0</v>
      </c>
      <c r="I30" s="157">
        <v>48107</v>
      </c>
      <c r="J30" s="157"/>
      <c r="K30" s="156"/>
      <c r="L30" s="157">
        <v>48107</v>
      </c>
      <c r="M30" s="157">
        <v>0</v>
      </c>
      <c r="N30" s="157">
        <v>48098</v>
      </c>
      <c r="O30" s="157">
        <v>0</v>
      </c>
      <c r="P30" s="157">
        <v>9</v>
      </c>
      <c r="Q30" s="157">
        <v>0</v>
      </c>
      <c r="R30" s="157">
        <v>0</v>
      </c>
    </row>
    <row r="31" spans="1:18">
      <c r="A31" s="156"/>
      <c r="B31" s="157"/>
      <c r="C31" s="176"/>
      <c r="D31" s="156"/>
      <c r="E31" s="157"/>
      <c r="F31" s="156"/>
      <c r="G31" s="157"/>
      <c r="H31" s="157"/>
      <c r="I31" s="156"/>
      <c r="J31" s="156"/>
      <c r="K31" s="156"/>
      <c r="L31" s="156"/>
      <c r="M31" s="156"/>
      <c r="N31" s="156"/>
      <c r="O31" s="156"/>
      <c r="P31" s="156"/>
      <c r="Q31" s="156"/>
      <c r="R31" s="156"/>
    </row>
    <row r="32" spans="1:18">
      <c r="A32" s="156"/>
      <c r="B32" s="156"/>
      <c r="C32" s="156"/>
      <c r="D32" s="156"/>
      <c r="E32" s="157"/>
      <c r="F32" s="156"/>
      <c r="G32" s="157"/>
      <c r="H32" s="157"/>
      <c r="I32" s="156"/>
      <c r="J32" s="156"/>
      <c r="K32" s="156"/>
      <c r="L32" s="156"/>
      <c r="M32" s="156"/>
      <c r="N32" s="156"/>
      <c r="O32" s="156"/>
      <c r="P32" s="156"/>
      <c r="Q32" s="156"/>
      <c r="R32" s="156"/>
    </row>
    <row r="33" spans="1:19">
      <c r="A33" s="156"/>
      <c r="B33" s="157"/>
      <c r="C33" s="176"/>
      <c r="D33" s="156"/>
      <c r="E33" s="157"/>
      <c r="F33" s="156"/>
      <c r="G33" s="157"/>
      <c r="H33" s="157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</row>
    <row r="34" spans="1:19">
      <c r="A34" s="156" t="s">
        <v>110</v>
      </c>
      <c r="B34" s="157"/>
      <c r="C34" s="176">
        <v>58</v>
      </c>
      <c r="D34" s="156"/>
      <c r="E34" s="116">
        <v>0</v>
      </c>
      <c r="F34" s="176">
        <v>350886</v>
      </c>
      <c r="G34" s="157">
        <v>0</v>
      </c>
      <c r="H34" s="157"/>
      <c r="I34" s="164">
        <v>350944</v>
      </c>
      <c r="J34" s="164"/>
      <c r="K34" s="157">
        <v>350944</v>
      </c>
      <c r="L34" s="164">
        <v>0</v>
      </c>
      <c r="M34" s="164"/>
      <c r="N34" s="164">
        <v>58</v>
      </c>
      <c r="O34" s="164">
        <v>0</v>
      </c>
      <c r="P34" s="164">
        <v>0</v>
      </c>
      <c r="Q34" s="164">
        <v>0</v>
      </c>
      <c r="R34" s="164">
        <v>350886</v>
      </c>
      <c r="S34" s="156"/>
    </row>
    <row r="35" spans="1:19">
      <c r="A35" s="163" t="s">
        <v>111</v>
      </c>
      <c r="B35" s="157"/>
      <c r="C35" s="176">
        <v>78346</v>
      </c>
      <c r="D35" s="156"/>
      <c r="E35" s="157">
        <v>0</v>
      </c>
      <c r="F35" s="157">
        <v>0</v>
      </c>
      <c r="G35" s="157"/>
      <c r="H35" s="157"/>
      <c r="I35" s="164">
        <v>78346</v>
      </c>
      <c r="J35" s="164"/>
      <c r="K35" s="157"/>
      <c r="L35" s="164">
        <v>78346</v>
      </c>
      <c r="M35" s="164"/>
      <c r="N35" s="164">
        <v>78346</v>
      </c>
      <c r="O35" s="164"/>
      <c r="P35" s="164">
        <v>0</v>
      </c>
      <c r="Q35" s="164"/>
      <c r="R35" s="164">
        <v>0</v>
      </c>
      <c r="S35" s="164">
        <v>0</v>
      </c>
    </row>
    <row r="36" spans="1:19">
      <c r="A36" s="163" t="s">
        <v>112</v>
      </c>
      <c r="B36" s="157"/>
      <c r="C36" s="157">
        <v>103</v>
      </c>
      <c r="D36" s="156"/>
      <c r="E36" s="116"/>
      <c r="F36" s="157"/>
      <c r="G36" s="157"/>
      <c r="H36" s="157"/>
      <c r="I36" s="164">
        <v>103</v>
      </c>
      <c r="J36" s="164"/>
      <c r="K36" s="164"/>
      <c r="L36" s="164">
        <v>103</v>
      </c>
      <c r="M36" s="164"/>
      <c r="N36" s="164">
        <v>103</v>
      </c>
      <c r="O36" s="164"/>
      <c r="P36" s="164">
        <v>0</v>
      </c>
      <c r="Q36" s="164"/>
      <c r="R36" s="164">
        <v>0</v>
      </c>
      <c r="S36" s="156"/>
    </row>
    <row r="37" spans="1:19">
      <c r="A37" s="156" t="s">
        <v>113</v>
      </c>
      <c r="B37" s="157"/>
      <c r="C37" s="157">
        <v>40115</v>
      </c>
      <c r="D37" s="156"/>
      <c r="E37" s="157">
        <v>2194</v>
      </c>
      <c r="F37" s="156"/>
      <c r="G37" s="157"/>
      <c r="H37" s="157"/>
      <c r="I37" s="164">
        <v>42309</v>
      </c>
      <c r="J37" s="164"/>
      <c r="K37" s="156"/>
      <c r="L37" s="164">
        <v>42309</v>
      </c>
      <c r="M37" s="164">
        <v>0</v>
      </c>
      <c r="N37" s="164">
        <v>40115</v>
      </c>
      <c r="O37" s="164"/>
      <c r="P37" s="164">
        <v>2194</v>
      </c>
      <c r="Q37" s="164"/>
      <c r="R37" s="164">
        <v>0</v>
      </c>
      <c r="S37" s="156"/>
    </row>
    <row r="38" spans="1:19">
      <c r="A38" s="156" t="s">
        <v>114</v>
      </c>
      <c r="B38" s="157"/>
      <c r="C38" s="176">
        <v>39003</v>
      </c>
      <c r="D38" s="156"/>
      <c r="E38" s="157">
        <v>24101</v>
      </c>
      <c r="F38" s="157">
        <v>74959</v>
      </c>
      <c r="G38" s="157"/>
      <c r="H38" s="157"/>
      <c r="I38" s="164">
        <v>138063</v>
      </c>
      <c r="J38" s="164"/>
      <c r="K38" s="156"/>
      <c r="L38" s="164">
        <v>138063</v>
      </c>
      <c r="M38" s="164"/>
      <c r="N38" s="164">
        <v>39003</v>
      </c>
      <c r="O38" s="164"/>
      <c r="P38" s="164">
        <v>24101</v>
      </c>
      <c r="Q38" s="164"/>
      <c r="R38" s="164"/>
      <c r="S38" s="156"/>
    </row>
    <row r="39" spans="1:19">
      <c r="A39" s="156"/>
      <c r="B39" s="157"/>
      <c r="C39" s="158"/>
      <c r="D39" s="166"/>
      <c r="E39" s="158"/>
      <c r="F39" s="166"/>
      <c r="G39" s="158"/>
      <c r="H39" s="158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56"/>
    </row>
    <row r="40" spans="1:19">
      <c r="A40" s="156" t="s">
        <v>115</v>
      </c>
      <c r="B40" s="157"/>
      <c r="C40" s="157">
        <v>157625</v>
      </c>
      <c r="D40" s="156"/>
      <c r="E40" s="157">
        <v>26295</v>
      </c>
      <c r="F40" s="157">
        <v>425845</v>
      </c>
      <c r="G40" s="157">
        <v>0</v>
      </c>
      <c r="H40" s="157">
        <v>0</v>
      </c>
      <c r="I40" s="157">
        <v>609765</v>
      </c>
      <c r="J40" s="157">
        <v>0</v>
      </c>
      <c r="K40" s="157">
        <v>350944</v>
      </c>
      <c r="L40" s="157">
        <v>258821</v>
      </c>
      <c r="M40" s="157">
        <v>0</v>
      </c>
      <c r="N40" s="157">
        <v>157625</v>
      </c>
      <c r="O40" s="157">
        <v>0</v>
      </c>
      <c r="P40" s="157">
        <v>26295</v>
      </c>
      <c r="Q40" s="157">
        <v>0</v>
      </c>
      <c r="R40" s="157">
        <v>350886</v>
      </c>
      <c r="S40" s="156"/>
    </row>
    <row r="41" spans="1:19">
      <c r="A41" s="156"/>
      <c r="B41" s="157"/>
      <c r="C41" s="157"/>
      <c r="D41" s="156"/>
      <c r="E41" s="157"/>
      <c r="F41" s="157"/>
      <c r="G41" s="157"/>
      <c r="H41" s="157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</row>
    <row r="42" spans="1:19" ht="13.5" thickBot="1">
      <c r="A42" s="156" t="s">
        <v>116</v>
      </c>
      <c r="B42" s="157"/>
      <c r="C42" s="159">
        <v>676208</v>
      </c>
      <c r="D42" s="159">
        <v>6</v>
      </c>
      <c r="E42" s="159">
        <v>38246</v>
      </c>
      <c r="F42" s="159">
        <v>445139</v>
      </c>
      <c r="G42" s="159">
        <v>246</v>
      </c>
      <c r="H42" s="159">
        <v>0</v>
      </c>
      <c r="I42" s="159">
        <v>1159845</v>
      </c>
      <c r="J42" s="159">
        <v>0</v>
      </c>
      <c r="K42" s="159">
        <v>384876</v>
      </c>
      <c r="L42" s="159">
        <v>774969</v>
      </c>
      <c r="M42" s="159">
        <v>0</v>
      </c>
      <c r="N42" s="159">
        <v>676208</v>
      </c>
      <c r="O42" s="159">
        <v>0</v>
      </c>
      <c r="P42" s="159">
        <v>38246</v>
      </c>
      <c r="Q42" s="159">
        <v>0</v>
      </c>
      <c r="R42" s="159">
        <v>370180</v>
      </c>
      <c r="S42" s="156"/>
    </row>
    <row r="43" spans="1:19" ht="13.5" thickTop="1">
      <c r="A43" s="156"/>
      <c r="B43" s="156"/>
      <c r="C43" s="156"/>
      <c r="D43" s="156"/>
      <c r="E43" s="157"/>
      <c r="F43" s="156"/>
      <c r="G43" s="157"/>
      <c r="H43" s="157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</row>
    <row r="44" spans="1:19">
      <c r="A44" s="156"/>
      <c r="B44" s="156"/>
      <c r="C44" s="164"/>
      <c r="D44" s="156"/>
      <c r="E44" s="156"/>
      <c r="F44" s="164"/>
      <c r="G44" s="157"/>
      <c r="H44" s="157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</row>
    <row r="45" spans="1:19">
      <c r="A45" s="156"/>
      <c r="B45" s="156"/>
      <c r="C45" s="164"/>
      <c r="D45" s="156"/>
      <c r="E45" s="156"/>
      <c r="F45" s="156"/>
      <c r="G45" s="164"/>
      <c r="H45" s="164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96" t="s">
        <v>117</v>
      </c>
      <c r="M46" s="156"/>
      <c r="N46" s="156"/>
      <c r="O46" s="156"/>
      <c r="P46" s="156"/>
      <c r="Q46" s="156"/>
      <c r="R46" s="156"/>
      <c r="S46" s="156"/>
    </row>
    <row r="47" spans="1:19">
      <c r="A47" s="156" t="s">
        <v>70</v>
      </c>
      <c r="B47" s="156"/>
      <c r="C47" s="156"/>
      <c r="D47" s="156"/>
      <c r="E47" s="156"/>
      <c r="F47" s="156"/>
      <c r="G47" s="156"/>
      <c r="H47" s="156"/>
      <c r="I47" s="164">
        <v>0</v>
      </c>
      <c r="J47" s="164"/>
      <c r="K47" s="156"/>
      <c r="L47" s="156"/>
      <c r="M47" s="156"/>
      <c r="N47" s="156"/>
      <c r="O47" s="156"/>
      <c r="P47" s="156"/>
      <c r="Q47" s="156"/>
      <c r="R47" s="156"/>
      <c r="S47" s="156"/>
    </row>
    <row r="48" spans="1:19">
      <c r="A48" s="156" t="s">
        <v>71</v>
      </c>
      <c r="B48" s="156"/>
      <c r="C48" s="171">
        <v>41729</v>
      </c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72">
        <v>41743.60204849537</v>
      </c>
      <c r="R48" s="156"/>
      <c r="S48" s="156"/>
    </row>
    <row r="50" spans="1:21">
      <c r="A50" s="156"/>
      <c r="B50" s="156"/>
      <c r="C50" s="167" t="s">
        <v>72</v>
      </c>
      <c r="D50" s="156" t="s">
        <v>73</v>
      </c>
      <c r="E50" s="167" t="s">
        <v>74</v>
      </c>
      <c r="F50" s="167" t="s">
        <v>75</v>
      </c>
      <c r="G50" s="167" t="s">
        <v>76</v>
      </c>
      <c r="H50" s="167" t="s">
        <v>77</v>
      </c>
      <c r="I50" s="156" t="s">
        <v>78</v>
      </c>
      <c r="J50" s="185" t="s">
        <v>79</v>
      </c>
      <c r="K50" s="167" t="s">
        <v>80</v>
      </c>
      <c r="L50" s="156"/>
      <c r="M50" s="156"/>
      <c r="N50" s="156"/>
      <c r="O50" s="156"/>
      <c r="P50" s="156"/>
      <c r="Q50" s="156"/>
      <c r="R50" s="156"/>
      <c r="S50" s="156"/>
      <c r="T50" s="156"/>
      <c r="U50" s="156"/>
    </row>
    <row r="51" spans="1:21">
      <c r="A51" s="156" t="s">
        <v>81</v>
      </c>
      <c r="B51" s="156"/>
      <c r="C51" s="168">
        <v>41729</v>
      </c>
      <c r="D51" s="168">
        <v>41729</v>
      </c>
      <c r="E51" s="168">
        <v>41729</v>
      </c>
      <c r="F51" s="168">
        <v>41729</v>
      </c>
      <c r="G51" s="168">
        <v>41729</v>
      </c>
      <c r="H51" s="168">
        <v>41729</v>
      </c>
      <c r="I51" s="168">
        <v>41729</v>
      </c>
      <c r="J51" s="186" t="s">
        <v>82</v>
      </c>
      <c r="K51" s="169" t="s">
        <v>83</v>
      </c>
      <c r="L51" s="169" t="s">
        <v>84</v>
      </c>
      <c r="M51" s="169" t="s">
        <v>85</v>
      </c>
      <c r="N51" s="169" t="s">
        <v>72</v>
      </c>
      <c r="O51" s="170" t="s">
        <v>118</v>
      </c>
      <c r="P51" s="170" t="s">
        <v>119</v>
      </c>
      <c r="Q51" s="170" t="s">
        <v>87</v>
      </c>
      <c r="R51" s="170" t="s">
        <v>88</v>
      </c>
      <c r="S51" s="156"/>
      <c r="T51" s="156"/>
      <c r="U51" s="156"/>
    </row>
    <row r="52" spans="1:21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</row>
    <row r="53" spans="1:21">
      <c r="A53" s="156" t="s">
        <v>120</v>
      </c>
      <c r="B53" s="157"/>
      <c r="C53" s="176">
        <v>54420</v>
      </c>
      <c r="D53" s="156"/>
      <c r="E53" s="156"/>
      <c r="F53" s="156"/>
      <c r="G53" s="156"/>
      <c r="H53" s="156"/>
      <c r="I53" s="164">
        <v>54420</v>
      </c>
      <c r="J53" s="164">
        <v>13642</v>
      </c>
      <c r="K53" s="156"/>
      <c r="L53" s="164">
        <v>68062</v>
      </c>
      <c r="M53" s="164"/>
      <c r="N53" s="164"/>
      <c r="O53" s="157"/>
      <c r="P53" s="164">
        <v>0</v>
      </c>
      <c r="Q53" s="164"/>
      <c r="R53" s="164">
        <v>0</v>
      </c>
      <c r="S53" s="156"/>
      <c r="T53" s="156"/>
      <c r="U53" s="156"/>
    </row>
    <row r="54" spans="1:21">
      <c r="A54" s="156" t="s">
        <v>121</v>
      </c>
      <c r="B54" s="157"/>
      <c r="C54" s="174">
        <v>32032</v>
      </c>
      <c r="D54" s="156"/>
      <c r="E54" s="176">
        <v>6242</v>
      </c>
      <c r="F54" s="199">
        <v>47</v>
      </c>
      <c r="G54" s="156">
        <v>6</v>
      </c>
      <c r="H54" s="176"/>
      <c r="I54" s="164">
        <v>38327</v>
      </c>
      <c r="J54" s="202">
        <v>-13642</v>
      </c>
      <c r="K54" s="176">
        <v>6013</v>
      </c>
      <c r="L54" s="164">
        <v>18672</v>
      </c>
      <c r="M54" s="164"/>
      <c r="N54" s="164"/>
      <c r="O54" s="157"/>
      <c r="P54" s="164">
        <v>6242</v>
      </c>
      <c r="Q54" s="164"/>
      <c r="R54" s="164">
        <v>47</v>
      </c>
      <c r="S54" s="156"/>
      <c r="T54" s="156"/>
      <c r="U54" s="156"/>
    </row>
    <row r="55" spans="1:21">
      <c r="A55" s="156" t="s">
        <v>122</v>
      </c>
      <c r="B55" s="157"/>
      <c r="C55" s="192">
        <v>7041</v>
      </c>
      <c r="D55" s="156"/>
      <c r="E55" s="156">
        <v>37</v>
      </c>
      <c r="F55" s="199">
        <v>9</v>
      </c>
      <c r="G55" s="176">
        <v>45</v>
      </c>
      <c r="H55" s="176"/>
      <c r="I55" s="164">
        <v>7132</v>
      </c>
      <c r="J55" s="164"/>
      <c r="K55" s="156"/>
      <c r="L55" s="164">
        <v>7132</v>
      </c>
      <c r="M55" s="164"/>
      <c r="N55" s="164"/>
      <c r="O55" s="157"/>
      <c r="P55" s="164">
        <v>37</v>
      </c>
      <c r="Q55" s="164"/>
      <c r="R55" s="164">
        <v>9</v>
      </c>
      <c r="S55" s="156"/>
      <c r="T55" s="156"/>
      <c r="U55" s="192">
        <v>7262</v>
      </c>
    </row>
    <row r="56" spans="1:21">
      <c r="A56" s="163" t="s">
        <v>97</v>
      </c>
      <c r="B56" s="157"/>
      <c r="C56" s="176">
        <v>1943</v>
      </c>
      <c r="D56" s="156"/>
      <c r="E56" s="156"/>
      <c r="F56" s="176"/>
      <c r="G56" s="176"/>
      <c r="H56" s="176"/>
      <c r="I56" s="164">
        <v>1943</v>
      </c>
      <c r="J56" s="164"/>
      <c r="K56" s="156"/>
      <c r="L56" s="164">
        <v>1943</v>
      </c>
      <c r="M56" s="164"/>
      <c r="N56" s="164"/>
      <c r="O56" s="157"/>
      <c r="P56" s="164">
        <v>0</v>
      </c>
      <c r="Q56" s="164"/>
      <c r="R56" s="164">
        <v>0</v>
      </c>
      <c r="S56" s="156"/>
      <c r="T56" s="156"/>
      <c r="U56" s="156"/>
    </row>
    <row r="57" spans="1:21">
      <c r="A57" s="156" t="s">
        <v>123</v>
      </c>
      <c r="B57" s="157"/>
      <c r="C57" s="176">
        <v>9414</v>
      </c>
      <c r="D57" s="156"/>
      <c r="E57" s="156">
        <v>480</v>
      </c>
      <c r="F57" s="199">
        <v>8</v>
      </c>
      <c r="G57" s="176"/>
      <c r="H57" s="176"/>
      <c r="I57" s="164">
        <v>9902</v>
      </c>
      <c r="J57" s="164"/>
      <c r="K57" s="156"/>
      <c r="L57" s="164">
        <v>9902</v>
      </c>
      <c r="M57" s="164"/>
      <c r="N57" s="164"/>
      <c r="O57" s="157"/>
      <c r="P57" s="164">
        <v>480</v>
      </c>
      <c r="Q57" s="164"/>
      <c r="R57" s="164">
        <v>8</v>
      </c>
      <c r="S57" s="156"/>
      <c r="T57" s="156"/>
      <c r="U57" s="176">
        <v>9086</v>
      </c>
    </row>
    <row r="58" spans="1:21">
      <c r="A58" s="163" t="s">
        <v>124</v>
      </c>
      <c r="B58" s="157"/>
      <c r="C58" s="176">
        <v>240</v>
      </c>
      <c r="D58" s="156"/>
      <c r="E58" s="156">
        <v>240</v>
      </c>
      <c r="F58" s="176"/>
      <c r="G58" s="176"/>
      <c r="H58" s="176"/>
      <c r="I58" s="164">
        <v>480</v>
      </c>
      <c r="J58" s="164"/>
      <c r="K58" s="156"/>
      <c r="L58" s="164">
        <v>480</v>
      </c>
      <c r="M58" s="164"/>
      <c r="N58" s="164"/>
      <c r="O58" s="157"/>
      <c r="P58" s="164">
        <v>240</v>
      </c>
      <c r="Q58" s="164"/>
      <c r="R58" s="164"/>
      <c r="S58" s="156"/>
      <c r="T58" s="156"/>
      <c r="U58" s="156"/>
    </row>
    <row r="59" spans="1:21">
      <c r="A59" s="156" t="s">
        <v>125</v>
      </c>
      <c r="B59" s="157"/>
      <c r="C59" s="176">
        <v>8144</v>
      </c>
      <c r="D59" s="176">
        <v>21</v>
      </c>
      <c r="E59" s="176">
        <v>10393</v>
      </c>
      <c r="F59" s="176">
        <v>6</v>
      </c>
      <c r="G59" s="176">
        <v>175</v>
      </c>
      <c r="H59" s="176">
        <v>0</v>
      </c>
      <c r="I59" s="176">
        <v>18739</v>
      </c>
      <c r="J59" s="176"/>
      <c r="K59" s="176">
        <v>10979</v>
      </c>
      <c r="L59" s="176">
        <v>7760</v>
      </c>
      <c r="M59" s="164"/>
      <c r="N59" s="164"/>
      <c r="O59" s="157"/>
      <c r="P59" s="164">
        <v>10393</v>
      </c>
      <c r="Q59" s="164"/>
      <c r="R59" s="164">
        <v>6</v>
      </c>
      <c r="S59" s="156"/>
      <c r="T59" s="156"/>
      <c r="U59" s="156"/>
    </row>
    <row r="60" spans="1:21">
      <c r="A60" s="156" t="s">
        <v>126</v>
      </c>
      <c r="B60" s="157"/>
      <c r="C60" s="176">
        <v>8144</v>
      </c>
      <c r="D60" s="176">
        <v>21</v>
      </c>
      <c r="E60" s="176">
        <v>10393</v>
      </c>
      <c r="F60" s="176">
        <v>6</v>
      </c>
      <c r="G60" s="176">
        <v>175</v>
      </c>
      <c r="H60" s="176"/>
      <c r="I60" s="164">
        <v>18739</v>
      </c>
      <c r="J60" s="164"/>
      <c r="K60" s="164">
        <v>10979</v>
      </c>
      <c r="L60" s="164">
        <v>7760</v>
      </c>
      <c r="M60" s="164"/>
      <c r="N60" s="164"/>
      <c r="O60" s="157"/>
      <c r="P60" s="164">
        <v>10393</v>
      </c>
      <c r="Q60" s="164"/>
      <c r="R60" s="164">
        <v>6</v>
      </c>
      <c r="S60" s="164"/>
      <c r="T60" s="156"/>
      <c r="U60" s="156"/>
    </row>
    <row r="61" spans="1:21">
      <c r="A61" s="156" t="s">
        <v>127</v>
      </c>
      <c r="B61" s="157"/>
      <c r="C61" s="178">
        <v>15879</v>
      </c>
      <c r="D61" s="166"/>
      <c r="E61" s="178"/>
      <c r="F61" s="178">
        <v>5366</v>
      </c>
      <c r="G61" s="178"/>
      <c r="H61" s="178"/>
      <c r="I61" s="165">
        <v>21245</v>
      </c>
      <c r="J61" s="165"/>
      <c r="K61" s="165">
        <v>14470</v>
      </c>
      <c r="L61" s="165">
        <v>6775</v>
      </c>
      <c r="M61" s="165"/>
      <c r="N61" s="165"/>
      <c r="O61" s="165"/>
      <c r="P61" s="165">
        <v>0</v>
      </c>
      <c r="Q61" s="165"/>
      <c r="R61" s="165">
        <v>5366</v>
      </c>
      <c r="S61" s="156"/>
      <c r="T61" s="156"/>
      <c r="U61" s="156"/>
    </row>
    <row r="62" spans="1:21">
      <c r="A62" s="156"/>
      <c r="B62" s="157"/>
      <c r="C62" s="176"/>
      <c r="D62" s="156"/>
      <c r="E62" s="176"/>
      <c r="F62" s="176"/>
      <c r="G62" s="176"/>
      <c r="H62" s="176"/>
      <c r="I62" s="156"/>
      <c r="J62" s="156"/>
      <c r="K62" s="156"/>
      <c r="L62" s="156"/>
      <c r="M62" s="156"/>
      <c r="N62" s="156"/>
      <c r="O62" s="157"/>
      <c r="P62" s="156"/>
      <c r="Q62" s="156"/>
      <c r="R62" s="156"/>
      <c r="S62" s="156"/>
      <c r="T62" s="156"/>
      <c r="U62" s="156"/>
    </row>
    <row r="63" spans="1:21">
      <c r="A63" s="156" t="s">
        <v>128</v>
      </c>
      <c r="B63" s="157"/>
      <c r="C63" s="176">
        <v>129113</v>
      </c>
      <c r="D63" s="176">
        <v>21</v>
      </c>
      <c r="E63" s="176">
        <v>17392</v>
      </c>
      <c r="F63" s="176">
        <v>5436</v>
      </c>
      <c r="G63" s="176">
        <v>226</v>
      </c>
      <c r="H63" s="176">
        <v>0</v>
      </c>
      <c r="I63" s="176">
        <v>152188</v>
      </c>
      <c r="J63" s="176"/>
      <c r="K63" s="176">
        <v>31462</v>
      </c>
      <c r="L63" s="176">
        <v>120726</v>
      </c>
      <c r="M63" s="157">
        <v>0</v>
      </c>
      <c r="N63" s="157">
        <v>0</v>
      </c>
      <c r="O63" s="157">
        <v>0</v>
      </c>
      <c r="P63" s="157">
        <v>17392</v>
      </c>
      <c r="Q63" s="157">
        <v>0</v>
      </c>
      <c r="R63" s="157">
        <v>5436</v>
      </c>
      <c r="S63" s="156"/>
      <c r="T63" s="156"/>
      <c r="U63" s="156"/>
    </row>
    <row r="64" spans="1:21">
      <c r="A64" s="156"/>
      <c r="B64" s="157"/>
      <c r="C64" s="176"/>
      <c r="D64" s="176"/>
      <c r="E64" s="176"/>
      <c r="F64" s="176"/>
      <c r="G64" s="176"/>
      <c r="H64" s="176"/>
      <c r="I64" s="164"/>
      <c r="J64" s="164"/>
      <c r="K64" s="164"/>
      <c r="L64" s="176"/>
      <c r="M64" s="157"/>
      <c r="N64" s="157"/>
      <c r="O64" s="157"/>
      <c r="P64" s="157"/>
      <c r="Q64" s="157"/>
      <c r="R64" s="157"/>
      <c r="S64" s="156"/>
      <c r="T64" s="156"/>
      <c r="U64" s="156"/>
    </row>
    <row r="65" spans="1:25">
      <c r="A65" s="163" t="s">
        <v>129</v>
      </c>
      <c r="B65" s="157"/>
      <c r="C65" s="176">
        <v>155131</v>
      </c>
      <c r="D65" s="176"/>
      <c r="E65" s="176"/>
      <c r="F65" s="176"/>
      <c r="G65" s="176"/>
      <c r="H65" s="176"/>
      <c r="I65" s="164">
        <v>155131</v>
      </c>
      <c r="J65" s="164"/>
      <c r="K65" s="164"/>
      <c r="L65" s="164">
        <v>155131</v>
      </c>
      <c r="M65" s="157"/>
      <c r="N65" s="157"/>
      <c r="O65" s="157"/>
      <c r="P65" s="164">
        <v>0</v>
      </c>
      <c r="Q65" s="157"/>
      <c r="R65" s="157"/>
      <c r="S65" s="156"/>
      <c r="T65" s="156"/>
      <c r="U65" s="156"/>
      <c r="V65" s="156"/>
      <c r="W65" s="156"/>
      <c r="X65" s="156"/>
      <c r="Y65" s="156"/>
    </row>
    <row r="66" spans="1:25">
      <c r="A66" s="163" t="s">
        <v>130</v>
      </c>
      <c r="B66" s="157"/>
      <c r="C66" s="176"/>
      <c r="D66" s="176"/>
      <c r="E66" s="176"/>
      <c r="F66" s="176"/>
      <c r="G66" s="176"/>
      <c r="H66" s="176"/>
      <c r="I66" s="164">
        <v>0</v>
      </c>
      <c r="J66" s="164"/>
      <c r="K66" s="164"/>
      <c r="L66" s="164">
        <v>0</v>
      </c>
      <c r="M66" s="157"/>
      <c r="N66" s="157"/>
      <c r="O66" s="157"/>
      <c r="P66" s="164">
        <v>0</v>
      </c>
      <c r="Q66" s="157"/>
      <c r="R66" s="157"/>
      <c r="S66" s="156"/>
      <c r="T66" s="156"/>
      <c r="U66" s="156"/>
      <c r="V66" s="156"/>
      <c r="W66" s="156"/>
      <c r="X66" s="156"/>
      <c r="Y66" s="156"/>
    </row>
    <row r="67" spans="1:25">
      <c r="A67" s="163" t="s">
        <v>124</v>
      </c>
      <c r="B67" s="157"/>
      <c r="C67" s="176">
        <v>0</v>
      </c>
      <c r="D67" s="176"/>
      <c r="E67" s="176">
        <v>320</v>
      </c>
      <c r="F67" s="176"/>
      <c r="G67" s="176"/>
      <c r="H67" s="176"/>
      <c r="I67" s="164">
        <v>320</v>
      </c>
      <c r="J67" s="164"/>
      <c r="K67" s="164"/>
      <c r="L67" s="164">
        <v>320</v>
      </c>
      <c r="M67" s="157"/>
      <c r="N67" s="164"/>
      <c r="O67" s="157"/>
      <c r="P67" s="164">
        <v>320</v>
      </c>
      <c r="Q67" s="157"/>
      <c r="R67" s="157"/>
      <c r="S67" s="156"/>
      <c r="T67" s="156"/>
      <c r="U67" s="156"/>
      <c r="V67" s="156"/>
      <c r="W67" s="156"/>
      <c r="X67" s="156"/>
      <c r="Y67" s="156"/>
    </row>
    <row r="68" spans="1:25">
      <c r="A68" s="163" t="s">
        <v>131</v>
      </c>
      <c r="B68" s="157"/>
      <c r="C68" s="176"/>
      <c r="D68" s="156"/>
      <c r="E68" s="176"/>
      <c r="F68" s="176"/>
      <c r="G68" s="176"/>
      <c r="H68" s="176"/>
      <c r="I68" s="164">
        <v>0</v>
      </c>
      <c r="J68" s="164"/>
      <c r="K68" s="156"/>
      <c r="L68" s="164">
        <v>0</v>
      </c>
      <c r="M68" s="156"/>
      <c r="N68" s="156"/>
      <c r="O68" s="157"/>
      <c r="P68" s="164">
        <v>0</v>
      </c>
      <c r="Q68" s="156"/>
      <c r="R68" s="156"/>
      <c r="S68" s="156"/>
      <c r="T68" s="156"/>
      <c r="U68" s="156"/>
      <c r="V68" s="156"/>
      <c r="W68" s="156"/>
      <c r="X68" s="156"/>
      <c r="Y68" s="156"/>
    </row>
    <row r="69" spans="1:25">
      <c r="A69" s="156" t="s">
        <v>132</v>
      </c>
      <c r="B69" s="157"/>
      <c r="C69" s="176">
        <v>28685</v>
      </c>
      <c r="D69" s="156"/>
      <c r="E69" s="176"/>
      <c r="F69" s="176"/>
      <c r="G69" s="176"/>
      <c r="H69" s="176"/>
      <c r="I69" s="164">
        <v>28685</v>
      </c>
      <c r="J69" s="164"/>
      <c r="K69" s="156"/>
      <c r="L69" s="164">
        <v>28685</v>
      </c>
      <c r="M69" s="156"/>
      <c r="N69" s="156"/>
      <c r="O69" s="157"/>
      <c r="P69" s="164"/>
      <c r="Q69" s="156"/>
      <c r="R69" s="156"/>
      <c r="S69" s="156"/>
      <c r="T69" s="156"/>
      <c r="U69" s="156"/>
      <c r="V69" s="156"/>
      <c r="W69" s="156"/>
      <c r="X69" s="156"/>
      <c r="Y69" s="156"/>
    </row>
    <row r="70" spans="1:25">
      <c r="A70" s="163" t="s">
        <v>133</v>
      </c>
      <c r="B70" s="157"/>
      <c r="C70" s="176">
        <v>24707</v>
      </c>
      <c r="D70" s="156"/>
      <c r="E70" s="176"/>
      <c r="F70" s="176"/>
      <c r="G70" s="176"/>
      <c r="H70" s="176"/>
      <c r="I70" s="164">
        <v>24707</v>
      </c>
      <c r="J70" s="164"/>
      <c r="K70" s="156"/>
      <c r="L70" s="164">
        <v>24707</v>
      </c>
      <c r="M70" s="164"/>
      <c r="N70" s="164"/>
      <c r="O70" s="164"/>
      <c r="P70" s="164">
        <v>0</v>
      </c>
      <c r="Q70" s="164"/>
      <c r="R70" s="164">
        <v>0</v>
      </c>
      <c r="S70" s="156"/>
      <c r="T70" s="156"/>
      <c r="U70" s="156"/>
      <c r="V70" s="156"/>
      <c r="W70" s="156"/>
      <c r="X70" s="156"/>
      <c r="Y70" s="156"/>
    </row>
    <row r="71" spans="1:25">
      <c r="A71" s="163" t="s">
        <v>134</v>
      </c>
      <c r="B71" s="157"/>
      <c r="C71" s="175"/>
      <c r="D71" s="166"/>
      <c r="E71" s="178">
        <v>2132</v>
      </c>
      <c r="F71" s="166"/>
      <c r="G71" s="166"/>
      <c r="H71" s="166"/>
      <c r="I71" s="165">
        <v>2132</v>
      </c>
      <c r="J71" s="165"/>
      <c r="K71" s="165">
        <v>0</v>
      </c>
      <c r="L71" s="165">
        <v>2132</v>
      </c>
      <c r="M71" s="166"/>
      <c r="N71" s="166"/>
      <c r="O71" s="165"/>
      <c r="P71" s="165">
        <v>2132</v>
      </c>
      <c r="Q71" s="165"/>
      <c r="R71" s="165">
        <v>0</v>
      </c>
      <c r="S71" s="156"/>
      <c r="T71" s="156"/>
      <c r="U71" s="156"/>
      <c r="V71" s="156"/>
      <c r="W71" s="156"/>
      <c r="X71" s="156"/>
      <c r="Y71" s="156"/>
    </row>
    <row r="72" spans="1:25">
      <c r="A72" s="156" t="s">
        <v>135</v>
      </c>
      <c r="B72" s="157"/>
      <c r="C72" s="176">
        <v>208523</v>
      </c>
      <c r="D72" s="176">
        <v>0</v>
      </c>
      <c r="E72" s="176">
        <v>2452</v>
      </c>
      <c r="F72" s="176">
        <v>0</v>
      </c>
      <c r="G72" s="176"/>
      <c r="H72" s="176">
        <v>0</v>
      </c>
      <c r="I72" s="176">
        <v>210975</v>
      </c>
      <c r="J72" s="176"/>
      <c r="K72" s="176">
        <v>0</v>
      </c>
      <c r="L72" s="176">
        <v>210975</v>
      </c>
      <c r="M72" s="157">
        <v>0</v>
      </c>
      <c r="N72" s="157">
        <v>0</v>
      </c>
      <c r="O72" s="157">
        <v>0</v>
      </c>
      <c r="P72" s="157">
        <v>2452</v>
      </c>
      <c r="Q72" s="157">
        <v>0</v>
      </c>
      <c r="R72" s="157">
        <v>0</v>
      </c>
      <c r="S72" s="156"/>
      <c r="T72" s="156"/>
      <c r="U72" s="156"/>
      <c r="V72" s="156"/>
      <c r="W72" s="156"/>
      <c r="X72" s="156"/>
      <c r="Y72" s="156"/>
    </row>
    <row r="73" spans="1:25">
      <c r="A73" s="156"/>
      <c r="B73" s="157"/>
      <c r="C73" s="176"/>
      <c r="D73" s="156"/>
      <c r="E73" s="17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</row>
    <row r="74" spans="1:25">
      <c r="A74" s="156" t="s">
        <v>136</v>
      </c>
      <c r="B74" s="157"/>
      <c r="C74" s="176">
        <v>0</v>
      </c>
      <c r="D74" s="156"/>
      <c r="E74" s="17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</row>
    <row r="75" spans="1:25">
      <c r="A75" s="156"/>
      <c r="B75" s="157"/>
      <c r="C75" s="176"/>
      <c r="D75" s="156"/>
      <c r="E75" s="17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</row>
    <row r="76" spans="1:25">
      <c r="A76" s="156" t="s">
        <v>137</v>
      </c>
      <c r="B76" s="157"/>
      <c r="C76" s="176">
        <v>0</v>
      </c>
      <c r="D76" s="156"/>
      <c r="E76" s="176"/>
      <c r="F76" s="156"/>
      <c r="G76" s="156"/>
      <c r="H76" s="156"/>
      <c r="I76" s="156"/>
      <c r="J76" s="156"/>
      <c r="K76" s="176">
        <v>3565</v>
      </c>
      <c r="L76" s="176">
        <v>3565</v>
      </c>
      <c r="M76" s="157"/>
      <c r="N76" s="157"/>
      <c r="O76" s="157"/>
      <c r="P76" s="157"/>
      <c r="Q76" s="157"/>
      <c r="R76" s="157">
        <v>0</v>
      </c>
      <c r="S76" s="156"/>
      <c r="T76" s="156"/>
      <c r="U76" s="156"/>
      <c r="V76" s="156"/>
      <c r="W76" s="156"/>
      <c r="X76" s="156"/>
      <c r="Y76" s="156"/>
    </row>
    <row r="77" spans="1:25">
      <c r="A77" s="156"/>
      <c r="B77" s="157"/>
      <c r="C77" s="176"/>
      <c r="D77" s="156"/>
      <c r="E77" s="176"/>
      <c r="F77" s="156"/>
      <c r="G77" s="156"/>
      <c r="H77" s="156"/>
      <c r="I77" s="156"/>
      <c r="J77" s="156"/>
      <c r="K77" s="17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</row>
    <row r="78" spans="1:25">
      <c r="A78" s="156"/>
      <c r="B78" s="156"/>
      <c r="C78" s="156"/>
      <c r="D78" s="156"/>
      <c r="E78" s="17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</row>
    <row r="79" spans="1:25">
      <c r="A79" s="156"/>
      <c r="B79" s="157"/>
      <c r="C79" s="176"/>
      <c r="D79" s="156"/>
      <c r="E79" s="17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</row>
    <row r="80" spans="1:25">
      <c r="A80" s="156"/>
      <c r="B80" s="156"/>
      <c r="C80" s="156"/>
      <c r="D80" s="156"/>
      <c r="E80" s="17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63" t="s">
        <v>138</v>
      </c>
      <c r="W80" s="156"/>
      <c r="X80" s="156"/>
      <c r="Y80" s="156" t="s">
        <v>139</v>
      </c>
    </row>
    <row r="81" spans="1:29" ht="15">
      <c r="A81" s="156" t="s">
        <v>140</v>
      </c>
      <c r="B81" s="157"/>
      <c r="C81" s="176">
        <v>146755</v>
      </c>
      <c r="D81" s="157">
        <v>53</v>
      </c>
      <c r="E81" s="176">
        <v>33000</v>
      </c>
      <c r="F81" s="157">
        <v>128515</v>
      </c>
      <c r="G81" s="157">
        <v>900</v>
      </c>
      <c r="H81" s="157">
        <v>0</v>
      </c>
      <c r="I81" s="157">
        <v>309223</v>
      </c>
      <c r="J81" s="157"/>
      <c r="K81" s="157">
        <v>180708</v>
      </c>
      <c r="L81" s="176">
        <v>128515</v>
      </c>
      <c r="M81" s="157"/>
      <c r="N81" s="157"/>
      <c r="O81" s="157"/>
      <c r="P81" s="164">
        <v>33000</v>
      </c>
      <c r="Q81" s="157">
        <v>0</v>
      </c>
      <c r="R81" s="157">
        <v>128515</v>
      </c>
      <c r="S81" s="156"/>
      <c r="T81" s="156"/>
      <c r="U81" s="156"/>
      <c r="V81" s="180" t="s">
        <v>45</v>
      </c>
      <c r="W81" s="181"/>
      <c r="X81" s="182">
        <v>128515</v>
      </c>
      <c r="Y81" s="182">
        <v>124547</v>
      </c>
    </row>
    <row r="82" spans="1:29" ht="15">
      <c r="A82" s="156" t="s">
        <v>141</v>
      </c>
      <c r="B82" s="157"/>
      <c r="C82" s="176">
        <v>146755</v>
      </c>
      <c r="D82" s="157">
        <v>53</v>
      </c>
      <c r="E82" s="176">
        <v>33000</v>
      </c>
      <c r="F82" s="176">
        <v>128515</v>
      </c>
      <c r="G82" s="176">
        <v>900</v>
      </c>
      <c r="H82" s="176"/>
      <c r="I82" s="164">
        <v>309223</v>
      </c>
      <c r="J82" s="164"/>
      <c r="K82" s="164">
        <v>180708</v>
      </c>
      <c r="L82" s="164">
        <v>128515</v>
      </c>
      <c r="M82" s="164"/>
      <c r="N82" s="164"/>
      <c r="O82" s="156"/>
      <c r="P82" s="164">
        <v>33000</v>
      </c>
      <c r="Q82" s="164"/>
      <c r="R82" s="157">
        <v>128515</v>
      </c>
      <c r="S82" s="156"/>
      <c r="T82" s="156"/>
      <c r="U82" s="156"/>
      <c r="V82" s="180" t="s">
        <v>46</v>
      </c>
      <c r="W82" s="181"/>
      <c r="X82" s="182">
        <v>-10870</v>
      </c>
      <c r="Y82" s="182">
        <v>-10870</v>
      </c>
    </row>
    <row r="83" spans="1:29" ht="15">
      <c r="A83" s="156" t="s">
        <v>142</v>
      </c>
      <c r="B83" s="157"/>
      <c r="C83" s="176"/>
      <c r="D83" s="156"/>
      <c r="E83" s="176"/>
      <c r="F83" s="156"/>
      <c r="G83" s="156"/>
      <c r="H83" s="156"/>
      <c r="I83" s="164">
        <v>0</v>
      </c>
      <c r="J83" s="164"/>
      <c r="K83" s="164">
        <v>0</v>
      </c>
      <c r="L83" s="164">
        <v>0</v>
      </c>
      <c r="M83" s="164"/>
      <c r="N83" s="164"/>
      <c r="O83" s="164"/>
      <c r="P83" s="164">
        <v>0</v>
      </c>
      <c r="Q83" s="164"/>
      <c r="R83" s="157">
        <v>0</v>
      </c>
      <c r="S83" s="156"/>
      <c r="T83" s="156"/>
      <c r="U83" s="156"/>
      <c r="V83" s="180" t="s">
        <v>47</v>
      </c>
      <c r="W83" s="181"/>
      <c r="X83" s="182">
        <v>178844</v>
      </c>
      <c r="Y83" s="182">
        <v>181431</v>
      </c>
    </row>
    <row r="84" spans="1:29" ht="15">
      <c r="A84" s="156" t="s">
        <v>143</v>
      </c>
      <c r="B84" s="157"/>
      <c r="C84" s="174">
        <v>87718</v>
      </c>
      <c r="D84" s="156"/>
      <c r="E84" s="176"/>
      <c r="F84" s="176">
        <v>167974</v>
      </c>
      <c r="G84" s="176"/>
      <c r="H84" s="176"/>
      <c r="I84" s="164">
        <v>255692</v>
      </c>
      <c r="J84" s="164"/>
      <c r="K84" s="164">
        <v>87718</v>
      </c>
      <c r="L84" s="164">
        <v>167974</v>
      </c>
      <c r="M84" s="164"/>
      <c r="N84" s="164"/>
      <c r="O84" s="164"/>
      <c r="P84" s="164">
        <v>0</v>
      </c>
      <c r="Q84" s="164"/>
      <c r="R84" s="157">
        <v>167974</v>
      </c>
      <c r="S84" s="156"/>
      <c r="T84" s="156"/>
      <c r="U84" s="156"/>
      <c r="V84" s="180" t="s">
        <v>48</v>
      </c>
      <c r="W84" s="181"/>
      <c r="X84" s="182">
        <v>137149</v>
      </c>
      <c r="Y84" s="182">
        <v>129049</v>
      </c>
    </row>
    <row r="85" spans="1:29" ht="15">
      <c r="A85" s="156" t="s">
        <v>144</v>
      </c>
      <c r="B85" s="157"/>
      <c r="C85" s="176">
        <v>107244</v>
      </c>
      <c r="D85" s="157">
        <v>-68</v>
      </c>
      <c r="E85" s="176">
        <v>-12703</v>
      </c>
      <c r="F85" s="174">
        <v>164128</v>
      </c>
      <c r="G85" s="174">
        <v>-350</v>
      </c>
      <c r="H85" s="174"/>
      <c r="I85" s="164">
        <v>258251</v>
      </c>
      <c r="J85" s="164"/>
      <c r="K85" s="164">
        <v>94123</v>
      </c>
      <c r="L85" s="164">
        <v>164128</v>
      </c>
      <c r="M85" s="164"/>
      <c r="N85" s="164"/>
      <c r="O85" s="164"/>
      <c r="P85" s="164">
        <v>-12703</v>
      </c>
      <c r="Q85" s="164">
        <v>0</v>
      </c>
      <c r="R85" s="157">
        <v>164128</v>
      </c>
      <c r="S85" s="156"/>
      <c r="T85" s="156"/>
      <c r="U85" s="156"/>
      <c r="V85" s="180" t="s">
        <v>49</v>
      </c>
      <c r="W85" s="181"/>
      <c r="X85" s="182">
        <v>-15512</v>
      </c>
      <c r="Y85" s="182">
        <v>-16373</v>
      </c>
    </row>
    <row r="86" spans="1:29">
      <c r="A86" s="156" t="s">
        <v>145</v>
      </c>
      <c r="B86" s="157"/>
      <c r="C86" s="176"/>
      <c r="D86" s="176"/>
      <c r="E86" s="176"/>
      <c r="F86" s="174">
        <v>-15512</v>
      </c>
      <c r="G86" s="174">
        <v>62</v>
      </c>
      <c r="H86" s="174"/>
      <c r="I86" s="164">
        <v>-15450</v>
      </c>
      <c r="J86" s="164"/>
      <c r="K86" s="164">
        <v>62</v>
      </c>
      <c r="L86" s="164">
        <v>-15512</v>
      </c>
      <c r="M86" s="164"/>
      <c r="N86" s="164"/>
      <c r="O86" s="164"/>
      <c r="P86" s="164">
        <v>0</v>
      </c>
      <c r="Q86" s="164">
        <v>0</v>
      </c>
      <c r="R86" s="157">
        <v>-15512</v>
      </c>
      <c r="S86" s="156"/>
      <c r="T86" s="156"/>
      <c r="U86" s="156"/>
      <c r="V86" s="156"/>
      <c r="W86" s="156"/>
      <c r="X86" s="156"/>
      <c r="Y86" s="156"/>
    </row>
    <row r="87" spans="1:29">
      <c r="A87" s="156" t="s">
        <v>146</v>
      </c>
      <c r="B87" s="157"/>
      <c r="C87" s="178">
        <v>-3145</v>
      </c>
      <c r="D87" s="166"/>
      <c r="E87" s="178">
        <v>-1895</v>
      </c>
      <c r="F87" s="175">
        <v>-5402</v>
      </c>
      <c r="G87" s="175">
        <v>-592</v>
      </c>
      <c r="H87" s="175"/>
      <c r="I87" s="165">
        <v>-11034</v>
      </c>
      <c r="J87" s="165"/>
      <c r="K87" s="165">
        <v>-5632</v>
      </c>
      <c r="L87" s="165">
        <v>-5402</v>
      </c>
      <c r="M87" s="165"/>
      <c r="N87" s="165"/>
      <c r="O87" s="165">
        <v>0</v>
      </c>
      <c r="P87" s="165">
        <v>-1895</v>
      </c>
      <c r="Q87" s="165">
        <v>0</v>
      </c>
      <c r="R87" s="158">
        <v>-5402</v>
      </c>
      <c r="S87" s="156"/>
      <c r="T87" s="156"/>
      <c r="U87" s="156">
        <v>-3038</v>
      </c>
      <c r="V87" s="156"/>
      <c r="W87" s="156"/>
      <c r="X87" s="156"/>
      <c r="Y87" s="156"/>
    </row>
    <row r="88" spans="1:29">
      <c r="A88" s="156"/>
      <c r="B88" s="157"/>
      <c r="C88" s="157"/>
      <c r="D88" s="156"/>
      <c r="E88" s="157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</row>
    <row r="89" spans="1:29">
      <c r="A89" s="156" t="s">
        <v>147</v>
      </c>
      <c r="B89" s="157"/>
      <c r="C89" s="157">
        <v>338572</v>
      </c>
      <c r="D89" s="157">
        <v>-15</v>
      </c>
      <c r="E89" s="157">
        <v>18402</v>
      </c>
      <c r="F89" s="157">
        <v>439703</v>
      </c>
      <c r="G89" s="157">
        <v>20</v>
      </c>
      <c r="H89" s="157">
        <v>0</v>
      </c>
      <c r="I89" s="157">
        <v>796682</v>
      </c>
      <c r="J89" s="157">
        <v>0</v>
      </c>
      <c r="K89" s="157">
        <v>356979</v>
      </c>
      <c r="L89" s="157">
        <v>439703</v>
      </c>
      <c r="M89" s="157"/>
      <c r="N89" s="157"/>
      <c r="O89" s="157">
        <v>0</v>
      </c>
      <c r="P89" s="157">
        <v>18402</v>
      </c>
      <c r="Q89" s="157"/>
      <c r="R89" s="157">
        <v>439703</v>
      </c>
      <c r="S89" s="156"/>
      <c r="T89" s="156"/>
      <c r="U89" s="156"/>
      <c r="V89" s="156"/>
      <c r="W89" s="156"/>
      <c r="X89" s="156"/>
      <c r="Y89" s="156"/>
    </row>
    <row r="90" spans="1:29">
      <c r="A90" s="156"/>
      <c r="B90" s="157"/>
      <c r="C90" s="157"/>
      <c r="D90" s="156"/>
      <c r="E90" s="157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</row>
    <row r="91" spans="1:29" ht="13.5" thickBot="1">
      <c r="A91" s="156" t="s">
        <v>148</v>
      </c>
      <c r="B91" s="157"/>
      <c r="C91" s="159">
        <v>676208</v>
      </c>
      <c r="D91" s="159">
        <v>6</v>
      </c>
      <c r="E91" s="159">
        <v>38246</v>
      </c>
      <c r="F91" s="159">
        <v>445139</v>
      </c>
      <c r="G91" s="159">
        <v>246</v>
      </c>
      <c r="H91" s="159">
        <v>0</v>
      </c>
      <c r="I91" s="159">
        <v>1159845</v>
      </c>
      <c r="J91" s="159">
        <v>0</v>
      </c>
      <c r="K91" s="159">
        <v>384876</v>
      </c>
      <c r="L91" s="159">
        <v>774969</v>
      </c>
      <c r="M91" s="159">
        <v>0</v>
      </c>
      <c r="N91" s="159">
        <v>0</v>
      </c>
      <c r="O91" s="159">
        <v>0</v>
      </c>
      <c r="P91" s="159">
        <v>38246</v>
      </c>
      <c r="Q91" s="159">
        <v>0</v>
      </c>
      <c r="R91" s="159">
        <v>445139</v>
      </c>
      <c r="S91" s="156"/>
      <c r="T91" s="156"/>
      <c r="U91" s="156"/>
      <c r="V91" s="156"/>
      <c r="W91" s="156"/>
      <c r="X91" s="156"/>
      <c r="Y91" s="156"/>
    </row>
    <row r="92" spans="1:29" ht="13.5" thickTop="1">
      <c r="A92" s="156"/>
      <c r="B92" s="157"/>
      <c r="C92" s="157"/>
      <c r="D92" s="156"/>
      <c r="E92" s="157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</row>
    <row r="93" spans="1:29">
      <c r="A93" s="156"/>
      <c r="B93" s="157"/>
      <c r="C93" s="157">
        <v>0</v>
      </c>
      <c r="D93" s="157">
        <v>0</v>
      </c>
      <c r="E93" s="157">
        <v>0</v>
      </c>
      <c r="F93" s="157">
        <v>0</v>
      </c>
      <c r="G93" s="157">
        <v>0</v>
      </c>
      <c r="H93" s="157">
        <v>0</v>
      </c>
      <c r="I93" s="157">
        <v>0</v>
      </c>
      <c r="J93" s="157">
        <v>0</v>
      </c>
      <c r="K93" s="157">
        <v>0</v>
      </c>
      <c r="L93" s="157">
        <v>0</v>
      </c>
      <c r="M93" s="157"/>
      <c r="N93" s="157"/>
      <c r="O93" s="157">
        <v>0</v>
      </c>
      <c r="P93" s="157">
        <v>0</v>
      </c>
      <c r="Q93" s="157"/>
      <c r="R93" s="157">
        <v>-74959</v>
      </c>
      <c r="S93" s="156"/>
      <c r="T93" s="156"/>
      <c r="U93" s="156"/>
      <c r="V93" s="156"/>
      <c r="W93" s="156"/>
      <c r="X93" s="156"/>
      <c r="Y93" s="156"/>
    </row>
    <row r="94" spans="1:29">
      <c r="A94" s="156"/>
      <c r="B94" s="157"/>
      <c r="C94" s="157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64"/>
      <c r="P94" s="156"/>
      <c r="Q94" s="156"/>
      <c r="R94" s="156"/>
      <c r="S94" s="156"/>
      <c r="T94" s="156"/>
      <c r="U94" s="156"/>
      <c r="V94" s="156"/>
      <c r="W94" s="156"/>
      <c r="X94" s="156"/>
      <c r="Y94" s="156"/>
    </row>
    <row r="95" spans="1:29">
      <c r="A95" s="156" t="s">
        <v>117</v>
      </c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</row>
    <row r="96" spans="1:29">
      <c r="A96" s="156" t="s">
        <v>71</v>
      </c>
      <c r="B96" s="156"/>
      <c r="C96" s="171">
        <v>41729</v>
      </c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72">
        <v>41743.60204849537</v>
      </c>
      <c r="Q96" s="156"/>
      <c r="R96" s="156"/>
      <c r="S96" s="156"/>
      <c r="T96" s="156"/>
      <c r="U96" s="156"/>
      <c r="V96" s="156"/>
      <c r="W96" s="156"/>
      <c r="X96" s="156"/>
      <c r="Y96" s="156"/>
      <c r="AA96" s="105" t="s">
        <v>71</v>
      </c>
      <c r="AC96" s="106">
        <v>41729</v>
      </c>
    </row>
    <row r="97" spans="1:37">
      <c r="A97" s="163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AA97" s="113"/>
    </row>
    <row r="98" spans="1:37">
      <c r="A98" s="156"/>
      <c r="B98" s="156"/>
      <c r="C98" s="167" t="s">
        <v>72</v>
      </c>
      <c r="D98" s="156" t="s">
        <v>73</v>
      </c>
      <c r="E98" s="177" t="s">
        <v>74</v>
      </c>
      <c r="F98" s="167" t="s">
        <v>75</v>
      </c>
      <c r="G98" s="167" t="s">
        <v>76</v>
      </c>
      <c r="H98" s="167" t="s">
        <v>77</v>
      </c>
      <c r="I98" s="156" t="s">
        <v>78</v>
      </c>
      <c r="J98" s="167" t="s">
        <v>80</v>
      </c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AC98" s="107" t="s">
        <v>72</v>
      </c>
      <c r="AD98" s="105" t="s">
        <v>73</v>
      </c>
      <c r="AE98" s="118" t="s">
        <v>74</v>
      </c>
      <c r="AF98" s="107" t="s">
        <v>75</v>
      </c>
      <c r="AG98" s="107" t="s">
        <v>76</v>
      </c>
      <c r="AH98" s="107" t="s">
        <v>77</v>
      </c>
      <c r="AI98" s="105" t="s">
        <v>78</v>
      </c>
      <c r="AJ98" s="107" t="s">
        <v>80</v>
      </c>
    </row>
    <row r="99" spans="1:37">
      <c r="A99" s="156" t="s">
        <v>81</v>
      </c>
      <c r="B99" s="156"/>
      <c r="C99" s="168">
        <v>41729</v>
      </c>
      <c r="D99" s="168">
        <v>41729</v>
      </c>
      <c r="E99" s="168">
        <v>41729</v>
      </c>
      <c r="F99" s="168">
        <v>41729</v>
      </c>
      <c r="G99" s="168">
        <v>41729</v>
      </c>
      <c r="H99" s="168">
        <v>41729</v>
      </c>
      <c r="I99" s="168">
        <v>41729</v>
      </c>
      <c r="J99" s="169" t="s">
        <v>83</v>
      </c>
      <c r="K99" s="169" t="s">
        <v>84</v>
      </c>
      <c r="L99" s="156"/>
      <c r="M99" s="170" t="s">
        <v>72</v>
      </c>
      <c r="N99" s="170" t="s">
        <v>118</v>
      </c>
      <c r="O99" s="170" t="s">
        <v>119</v>
      </c>
      <c r="P99" s="170" t="s">
        <v>87</v>
      </c>
      <c r="Q99" s="170" t="s">
        <v>88</v>
      </c>
      <c r="R99" s="156"/>
      <c r="S99" s="156"/>
      <c r="T99" s="156"/>
      <c r="U99" s="156"/>
      <c r="V99" s="156"/>
      <c r="W99" s="156"/>
      <c r="X99" s="156"/>
      <c r="AA99" s="105" t="s">
        <v>81</v>
      </c>
      <c r="AC99" s="108">
        <v>41729</v>
      </c>
      <c r="AD99" s="108">
        <v>41729</v>
      </c>
      <c r="AE99" s="108">
        <v>41729</v>
      </c>
      <c r="AF99" s="108">
        <v>41729</v>
      </c>
      <c r="AG99" s="108">
        <v>41729</v>
      </c>
      <c r="AH99" s="108">
        <v>41729</v>
      </c>
      <c r="AI99" s="108">
        <v>41729</v>
      </c>
      <c r="AJ99" s="109" t="s">
        <v>83</v>
      </c>
      <c r="AK99" s="109" t="s">
        <v>84</v>
      </c>
    </row>
    <row r="100" spans="1:37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</row>
    <row r="101" spans="1:37" ht="15">
      <c r="A101" s="156" t="s">
        <v>149</v>
      </c>
      <c r="B101" s="157"/>
      <c r="C101" s="157">
        <v>82220</v>
      </c>
      <c r="D101" s="156"/>
      <c r="E101" s="176">
        <v>1222</v>
      </c>
      <c r="F101" s="156"/>
      <c r="G101" s="157"/>
      <c r="H101" s="157"/>
      <c r="I101" s="164">
        <v>83442</v>
      </c>
      <c r="J101" s="176">
        <v>884</v>
      </c>
      <c r="K101" s="164">
        <v>82558</v>
      </c>
      <c r="L101" s="156"/>
      <c r="M101" s="164"/>
      <c r="N101" s="164"/>
      <c r="O101" s="164">
        <v>1222</v>
      </c>
      <c r="P101" s="164"/>
      <c r="Q101" s="164">
        <v>0</v>
      </c>
      <c r="R101" s="156"/>
      <c r="S101" s="156"/>
      <c r="T101" s="156"/>
      <c r="U101" s="156"/>
      <c r="V101" s="156"/>
      <c r="W101" s="156"/>
      <c r="X101" s="156"/>
      <c r="AA101" s="105" t="s">
        <v>149</v>
      </c>
      <c r="AB101" s="110"/>
      <c r="AC101" s="110">
        <f>C101-C154</f>
        <v>82220</v>
      </c>
      <c r="AD101" s="110">
        <f t="shared" ref="AD101:AK101" si="0">D101-D154</f>
        <v>0</v>
      </c>
      <c r="AE101" s="112">
        <f t="shared" si="0"/>
        <v>1222</v>
      </c>
      <c r="AF101" s="110">
        <f t="shared" si="0"/>
        <v>0</v>
      </c>
      <c r="AG101" s="110">
        <f t="shared" si="0"/>
        <v>0</v>
      </c>
      <c r="AH101" s="110">
        <f t="shared" si="0"/>
        <v>0</v>
      </c>
      <c r="AI101" s="110">
        <f t="shared" si="0"/>
        <v>83442</v>
      </c>
      <c r="AJ101" s="112">
        <f t="shared" si="0"/>
        <v>884</v>
      </c>
      <c r="AK101" s="110">
        <f t="shared" si="0"/>
        <v>62865.067555402769</v>
      </c>
    </row>
    <row r="102" spans="1:37" ht="15">
      <c r="A102" s="156" t="s">
        <v>150</v>
      </c>
      <c r="B102" s="161"/>
      <c r="C102" s="157">
        <v>2700</v>
      </c>
      <c r="D102" s="156"/>
      <c r="E102" s="176"/>
      <c r="F102" s="156"/>
      <c r="G102" s="157"/>
      <c r="H102" s="157"/>
      <c r="I102" s="164">
        <v>2700</v>
      </c>
      <c r="J102" s="176"/>
      <c r="K102" s="164">
        <v>2700</v>
      </c>
      <c r="L102" s="156"/>
      <c r="M102" s="164"/>
      <c r="N102" s="164"/>
      <c r="O102" s="164">
        <v>0</v>
      </c>
      <c r="P102" s="164"/>
      <c r="Q102" s="164">
        <v>0</v>
      </c>
      <c r="R102" s="156"/>
      <c r="S102" s="156"/>
      <c r="T102" s="156"/>
      <c r="U102" s="156"/>
      <c r="V102" s="156"/>
      <c r="W102" s="156"/>
      <c r="X102" s="156"/>
      <c r="AA102" s="105" t="s">
        <v>150</v>
      </c>
      <c r="AB102" s="119"/>
      <c r="AC102" s="110">
        <f t="shared" ref="AC102:AK107" si="1">C102-C155</f>
        <v>2700</v>
      </c>
      <c r="AD102" s="110">
        <f t="shared" si="1"/>
        <v>0</v>
      </c>
      <c r="AE102" s="112">
        <f t="shared" si="1"/>
        <v>0</v>
      </c>
      <c r="AF102" s="110">
        <f t="shared" si="1"/>
        <v>0</v>
      </c>
      <c r="AG102" s="110">
        <f t="shared" si="1"/>
        <v>0</v>
      </c>
      <c r="AH102" s="110">
        <f t="shared" si="1"/>
        <v>0</v>
      </c>
      <c r="AI102" s="110">
        <f t="shared" si="1"/>
        <v>2700</v>
      </c>
      <c r="AJ102" s="112">
        <f t="shared" si="1"/>
        <v>0</v>
      </c>
      <c r="AK102" s="110">
        <f t="shared" si="1"/>
        <v>-15541.092787291091</v>
      </c>
    </row>
    <row r="103" spans="1:37" ht="15">
      <c r="A103" s="156" t="s">
        <v>151</v>
      </c>
      <c r="B103" s="161"/>
      <c r="C103" s="157">
        <v>12739</v>
      </c>
      <c r="D103" s="156"/>
      <c r="E103" s="176">
        <v>293</v>
      </c>
      <c r="F103" s="156"/>
      <c r="G103" s="157"/>
      <c r="H103" s="157"/>
      <c r="I103" s="164">
        <v>13032</v>
      </c>
      <c r="J103" s="176">
        <v>136</v>
      </c>
      <c r="K103" s="164">
        <v>12896</v>
      </c>
      <c r="L103" s="156"/>
      <c r="M103" s="164"/>
      <c r="N103" s="164"/>
      <c r="O103" s="164">
        <v>293</v>
      </c>
      <c r="P103" s="164"/>
      <c r="Q103" s="164">
        <v>0</v>
      </c>
      <c r="R103" s="156"/>
      <c r="S103" s="156"/>
      <c r="T103" s="156"/>
      <c r="U103" s="156"/>
      <c r="V103" s="156"/>
      <c r="W103" s="156"/>
      <c r="X103" s="156"/>
      <c r="AA103" s="105" t="s">
        <v>151</v>
      </c>
      <c r="AB103" s="119"/>
      <c r="AC103" s="110">
        <f t="shared" si="1"/>
        <v>12739</v>
      </c>
      <c r="AD103" s="110">
        <f t="shared" si="1"/>
        <v>0</v>
      </c>
      <c r="AE103" s="112">
        <f t="shared" si="1"/>
        <v>293</v>
      </c>
      <c r="AF103" s="110">
        <f t="shared" si="1"/>
        <v>0</v>
      </c>
      <c r="AG103" s="110">
        <f t="shared" si="1"/>
        <v>0</v>
      </c>
      <c r="AH103" s="110">
        <f t="shared" si="1"/>
        <v>0</v>
      </c>
      <c r="AI103" s="110">
        <f t="shared" si="1"/>
        <v>13032</v>
      </c>
      <c r="AJ103" s="112">
        <f t="shared" si="1"/>
        <v>136</v>
      </c>
      <c r="AK103" s="110">
        <f t="shared" si="1"/>
        <v>11605</v>
      </c>
    </row>
    <row r="104" spans="1:37" ht="15">
      <c r="A104" s="163" t="s">
        <v>152</v>
      </c>
      <c r="B104" s="156"/>
      <c r="C104" s="158">
        <v>364</v>
      </c>
      <c r="D104" s="165"/>
      <c r="E104" s="178"/>
      <c r="F104" s="166"/>
      <c r="G104" s="158"/>
      <c r="H104" s="158"/>
      <c r="I104" s="165">
        <v>364</v>
      </c>
      <c r="J104" s="178"/>
      <c r="K104" s="165">
        <v>364</v>
      </c>
      <c r="L104" s="156"/>
      <c r="M104" s="164"/>
      <c r="N104" s="164"/>
      <c r="O104" s="165">
        <v>0</v>
      </c>
      <c r="P104" s="164"/>
      <c r="Q104" s="165">
        <v>0</v>
      </c>
      <c r="R104" s="156"/>
      <c r="S104" s="164"/>
      <c r="T104" s="156"/>
      <c r="U104" s="156"/>
      <c r="V104" s="156"/>
      <c r="W104" s="156"/>
      <c r="X104" s="156"/>
      <c r="AA104" s="113" t="s">
        <v>152</v>
      </c>
      <c r="AC104" s="115">
        <f t="shared" si="1"/>
        <v>364</v>
      </c>
      <c r="AD104" s="115">
        <f t="shared" si="1"/>
        <v>0</v>
      </c>
      <c r="AE104" s="114">
        <f t="shared" si="1"/>
        <v>0</v>
      </c>
      <c r="AF104" s="115">
        <f t="shared" si="1"/>
        <v>0</v>
      </c>
      <c r="AG104" s="115">
        <f t="shared" si="1"/>
        <v>0</v>
      </c>
      <c r="AH104" s="115">
        <f t="shared" si="1"/>
        <v>0</v>
      </c>
      <c r="AI104" s="115">
        <f t="shared" si="1"/>
        <v>364</v>
      </c>
      <c r="AJ104" s="114">
        <f t="shared" si="1"/>
        <v>0</v>
      </c>
      <c r="AK104" s="115">
        <f t="shared" si="1"/>
        <v>-323.81372388884904</v>
      </c>
    </row>
    <row r="105" spans="1:37" ht="15">
      <c r="A105" s="156"/>
      <c r="B105" s="161"/>
      <c r="C105" s="160"/>
      <c r="D105" s="156"/>
      <c r="E105" s="156"/>
      <c r="F105" s="156"/>
      <c r="G105" s="157"/>
      <c r="H105" s="157"/>
      <c r="I105" s="156"/>
      <c r="J105" s="17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AB105" s="119"/>
      <c r="AC105" s="120">
        <f t="shared" si="1"/>
        <v>0</v>
      </c>
      <c r="AD105" s="110">
        <f t="shared" si="1"/>
        <v>0</v>
      </c>
      <c r="AE105" s="112">
        <f t="shared" si="1"/>
        <v>0</v>
      </c>
      <c r="AF105" s="110">
        <f t="shared" si="1"/>
        <v>0</v>
      </c>
      <c r="AG105" s="110">
        <f t="shared" si="1"/>
        <v>0</v>
      </c>
      <c r="AH105" s="110">
        <f t="shared" si="1"/>
        <v>0</v>
      </c>
      <c r="AI105" s="110">
        <f t="shared" si="1"/>
        <v>0</v>
      </c>
      <c r="AJ105" s="112">
        <f t="shared" si="1"/>
        <v>0</v>
      </c>
      <c r="AK105" s="110">
        <f t="shared" si="1"/>
        <v>0</v>
      </c>
    </row>
    <row r="106" spans="1:37" ht="15">
      <c r="A106" s="156" t="s">
        <v>153</v>
      </c>
      <c r="B106" s="161"/>
      <c r="C106" s="157">
        <v>67145</v>
      </c>
      <c r="D106" s="156"/>
      <c r="E106" s="176">
        <v>929</v>
      </c>
      <c r="F106" s="156"/>
      <c r="G106" s="157">
        <v>0</v>
      </c>
      <c r="H106" s="157">
        <v>0</v>
      </c>
      <c r="I106" s="157">
        <v>68074</v>
      </c>
      <c r="J106" s="176">
        <v>748</v>
      </c>
      <c r="K106" s="157">
        <v>67326</v>
      </c>
      <c r="L106" s="164"/>
      <c r="M106" s="157"/>
      <c r="N106" s="157"/>
      <c r="O106" s="157"/>
      <c r="P106" s="157"/>
      <c r="Q106" s="157"/>
      <c r="R106" s="156"/>
      <c r="S106" s="156"/>
      <c r="T106" s="156"/>
      <c r="U106" s="163" t="s">
        <v>154</v>
      </c>
      <c r="V106" s="156"/>
      <c r="W106" s="156"/>
      <c r="X106" s="202">
        <v>524</v>
      </c>
      <c r="AA106" s="105" t="s">
        <v>153</v>
      </c>
      <c r="AB106" s="119"/>
      <c r="AC106" s="110">
        <f t="shared" si="1"/>
        <v>67145</v>
      </c>
      <c r="AD106" s="110">
        <f t="shared" si="1"/>
        <v>0</v>
      </c>
      <c r="AE106" s="112">
        <f t="shared" si="1"/>
        <v>929</v>
      </c>
      <c r="AF106" s="110">
        <f t="shared" si="1"/>
        <v>0</v>
      </c>
      <c r="AG106" s="110">
        <f t="shared" si="1"/>
        <v>0</v>
      </c>
      <c r="AH106" s="110">
        <f t="shared" si="1"/>
        <v>0</v>
      </c>
      <c r="AI106" s="110">
        <f t="shared" si="1"/>
        <v>68074</v>
      </c>
      <c r="AJ106" s="112">
        <f t="shared" si="1"/>
        <v>748</v>
      </c>
      <c r="AK106" s="110">
        <f t="shared" si="1"/>
        <v>66799.025933417288</v>
      </c>
    </row>
    <row r="107" spans="1:37" ht="15">
      <c r="A107" s="156" t="s">
        <v>155</v>
      </c>
      <c r="B107" s="161"/>
      <c r="C107" s="158">
        <v>30609</v>
      </c>
      <c r="D107" s="166"/>
      <c r="E107" s="178">
        <v>524</v>
      </c>
      <c r="F107" s="166"/>
      <c r="G107" s="158"/>
      <c r="H107" s="158"/>
      <c r="I107" s="165">
        <v>31133</v>
      </c>
      <c r="J107" s="178">
        <v>583</v>
      </c>
      <c r="K107" s="165">
        <v>30550</v>
      </c>
      <c r="L107" s="164"/>
      <c r="M107" s="164"/>
      <c r="N107" s="164"/>
      <c r="O107" s="165"/>
      <c r="P107" s="164"/>
      <c r="Q107" s="165"/>
      <c r="R107" s="156"/>
      <c r="S107" s="156"/>
      <c r="T107" s="156"/>
      <c r="U107" s="163" t="s">
        <v>156</v>
      </c>
      <c r="V107" s="156"/>
      <c r="W107" s="156"/>
      <c r="X107" s="202">
        <v>188.4828</v>
      </c>
      <c r="AA107" s="105" t="s">
        <v>155</v>
      </c>
      <c r="AB107" s="119"/>
      <c r="AC107" s="115">
        <f>C107-C160</f>
        <v>30609</v>
      </c>
      <c r="AD107" s="115">
        <f t="shared" si="1"/>
        <v>0</v>
      </c>
      <c r="AE107" s="114">
        <f t="shared" si="1"/>
        <v>524</v>
      </c>
      <c r="AF107" s="115">
        <f t="shared" si="1"/>
        <v>0</v>
      </c>
      <c r="AG107" s="115">
        <f t="shared" si="1"/>
        <v>0</v>
      </c>
      <c r="AH107" s="115">
        <f t="shared" si="1"/>
        <v>0</v>
      </c>
      <c r="AI107" s="115">
        <f t="shared" si="1"/>
        <v>31133</v>
      </c>
      <c r="AJ107" s="114">
        <f t="shared" si="1"/>
        <v>583</v>
      </c>
      <c r="AK107" s="115">
        <f t="shared" si="1"/>
        <v>30550</v>
      </c>
    </row>
    <row r="108" spans="1:37" ht="15">
      <c r="A108" s="156"/>
      <c r="B108" s="161"/>
      <c r="C108" s="157"/>
      <c r="D108" s="156"/>
      <c r="E108" s="156"/>
      <c r="F108" s="156"/>
      <c r="G108" s="157"/>
      <c r="H108" s="157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63" t="s">
        <v>157</v>
      </c>
      <c r="V108" s="156"/>
      <c r="W108" s="156"/>
      <c r="X108" s="202">
        <v>335.5172</v>
      </c>
      <c r="AB108" s="119"/>
      <c r="AC108" s="110">
        <f t="shared" ref="AC108:AK123" si="2">C108-C161</f>
        <v>0</v>
      </c>
      <c r="AD108" s="110">
        <f t="shared" si="2"/>
        <v>0</v>
      </c>
      <c r="AE108" s="110">
        <f t="shared" si="2"/>
        <v>0</v>
      </c>
      <c r="AF108" s="110">
        <f t="shared" si="2"/>
        <v>0</v>
      </c>
      <c r="AG108" s="110">
        <f t="shared" si="2"/>
        <v>0</v>
      </c>
      <c r="AH108" s="110">
        <f t="shared" si="2"/>
        <v>0</v>
      </c>
      <c r="AI108" s="110">
        <f t="shared" si="2"/>
        <v>0</v>
      </c>
      <c r="AJ108" s="112">
        <f t="shared" si="2"/>
        <v>0</v>
      </c>
      <c r="AK108" s="110">
        <f t="shared" si="2"/>
        <v>0</v>
      </c>
    </row>
    <row r="109" spans="1:37" ht="15">
      <c r="A109" s="156" t="s">
        <v>158</v>
      </c>
      <c r="B109" s="161"/>
      <c r="C109" s="157">
        <v>36536</v>
      </c>
      <c r="D109" s="157">
        <v>0</v>
      </c>
      <c r="E109" s="157">
        <v>405</v>
      </c>
      <c r="F109" s="157">
        <v>0</v>
      </c>
      <c r="G109" s="157">
        <v>0</v>
      </c>
      <c r="H109" s="157">
        <v>0</v>
      </c>
      <c r="I109" s="157">
        <v>36941</v>
      </c>
      <c r="J109" s="176">
        <v>165</v>
      </c>
      <c r="K109" s="164">
        <v>36776</v>
      </c>
      <c r="L109" s="164"/>
      <c r="M109" s="164"/>
      <c r="N109" s="164"/>
      <c r="O109" s="157"/>
      <c r="P109" s="164"/>
      <c r="Q109" s="157"/>
      <c r="R109" s="156"/>
      <c r="S109" s="164"/>
      <c r="T109" s="156"/>
      <c r="U109" s="156"/>
      <c r="V109" s="156"/>
      <c r="W109" s="156"/>
      <c r="X109" s="156"/>
      <c r="AA109" s="105" t="s">
        <v>158</v>
      </c>
      <c r="AB109" s="119"/>
      <c r="AC109" s="110">
        <f t="shared" si="2"/>
        <v>36536</v>
      </c>
      <c r="AD109" s="110">
        <f t="shared" si="2"/>
        <v>0</v>
      </c>
      <c r="AE109" s="110">
        <f t="shared" si="2"/>
        <v>405</v>
      </c>
      <c r="AF109" s="110">
        <f t="shared" si="2"/>
        <v>0</v>
      </c>
      <c r="AG109" s="110">
        <f t="shared" si="2"/>
        <v>0</v>
      </c>
      <c r="AH109" s="110">
        <f t="shared" si="2"/>
        <v>0</v>
      </c>
      <c r="AI109" s="110">
        <f t="shared" si="2"/>
        <v>36941</v>
      </c>
      <c r="AJ109" s="112">
        <f t="shared" si="2"/>
        <v>165</v>
      </c>
      <c r="AK109" s="110">
        <f t="shared" si="2"/>
        <v>34000.398498730014</v>
      </c>
    </row>
    <row r="110" spans="1:37" ht="15">
      <c r="A110" s="156"/>
      <c r="B110" s="161"/>
      <c r="C110" s="157"/>
      <c r="D110" s="156"/>
      <c r="E110" s="156"/>
      <c r="F110" s="156"/>
      <c r="G110" s="157"/>
      <c r="H110" s="157"/>
      <c r="I110" s="156"/>
      <c r="J110" s="156"/>
      <c r="K110" s="156"/>
      <c r="L110" s="183"/>
      <c r="M110" s="156"/>
      <c r="N110" s="156"/>
      <c r="O110" s="156"/>
      <c r="P110" s="156"/>
      <c r="Q110" s="156"/>
      <c r="R110" s="156"/>
      <c r="S110" s="164"/>
      <c r="T110" s="200">
        <v>0</v>
      </c>
      <c r="U110" s="163" t="s">
        <v>159</v>
      </c>
      <c r="V110" s="156"/>
      <c r="W110" s="156"/>
      <c r="X110" s="156"/>
      <c r="AB110" s="119"/>
      <c r="AC110" s="110">
        <f t="shared" si="2"/>
        <v>0</v>
      </c>
      <c r="AD110" s="110">
        <f t="shared" si="2"/>
        <v>0</v>
      </c>
      <c r="AE110" s="110">
        <f t="shared" si="2"/>
        <v>0</v>
      </c>
      <c r="AF110" s="110">
        <f t="shared" si="2"/>
        <v>0</v>
      </c>
      <c r="AG110" s="110">
        <f t="shared" si="2"/>
        <v>0</v>
      </c>
      <c r="AH110" s="110">
        <f t="shared" si="2"/>
        <v>0</v>
      </c>
      <c r="AI110" s="110">
        <f t="shared" si="2"/>
        <v>0</v>
      </c>
      <c r="AJ110" s="112">
        <f t="shared" si="2"/>
        <v>0</v>
      </c>
      <c r="AK110" s="110">
        <f t="shared" si="2"/>
        <v>-2665.8305620537099</v>
      </c>
    </row>
    <row r="111" spans="1:37" ht="15">
      <c r="A111" s="156" t="s">
        <v>160</v>
      </c>
      <c r="B111" s="161"/>
      <c r="C111" s="160">
        <v>0</v>
      </c>
      <c r="D111" s="156"/>
      <c r="E111" s="157">
        <v>0</v>
      </c>
      <c r="F111" s="157">
        <v>-5189</v>
      </c>
      <c r="G111" s="157"/>
      <c r="H111" s="157"/>
      <c r="I111" s="164">
        <v>-5189</v>
      </c>
      <c r="J111" s="176">
        <v>-5189</v>
      </c>
      <c r="K111" s="164">
        <v>0</v>
      </c>
      <c r="L111" s="156"/>
      <c r="M111" s="164"/>
      <c r="N111" s="164"/>
      <c r="O111" s="164">
        <v>0</v>
      </c>
      <c r="P111" s="164"/>
      <c r="Q111" s="164">
        <v>-5189</v>
      </c>
      <c r="R111" s="156"/>
      <c r="S111" s="156"/>
      <c r="T111" s="156">
        <v>324.88</v>
      </c>
      <c r="U111" s="163" t="s">
        <v>161</v>
      </c>
      <c r="V111" s="156"/>
      <c r="W111" s="156"/>
      <c r="X111" s="202">
        <v>748</v>
      </c>
      <c r="AA111" s="105" t="s">
        <v>160</v>
      </c>
      <c r="AB111" s="119"/>
      <c r="AC111" s="120">
        <f t="shared" si="2"/>
        <v>0</v>
      </c>
      <c r="AD111" s="110">
        <f t="shared" si="2"/>
        <v>0</v>
      </c>
      <c r="AE111" s="110">
        <f t="shared" si="2"/>
        <v>0</v>
      </c>
      <c r="AF111" s="110">
        <f t="shared" si="2"/>
        <v>-5189</v>
      </c>
      <c r="AG111" s="110">
        <f t="shared" si="2"/>
        <v>0</v>
      </c>
      <c r="AH111" s="110">
        <f t="shared" si="2"/>
        <v>0</v>
      </c>
      <c r="AI111" s="110">
        <f t="shared" si="2"/>
        <v>-5189</v>
      </c>
      <c r="AJ111" s="112">
        <f t="shared" si="2"/>
        <v>-5189</v>
      </c>
      <c r="AK111" s="110">
        <f t="shared" si="2"/>
        <v>-185.44597201318413</v>
      </c>
    </row>
    <row r="112" spans="1:37" ht="15">
      <c r="A112" s="156"/>
      <c r="B112" s="161"/>
      <c r="C112" s="157"/>
      <c r="D112" s="156"/>
      <c r="E112" s="157"/>
      <c r="F112" s="156"/>
      <c r="G112" s="157"/>
      <c r="H112" s="157"/>
      <c r="I112" s="156"/>
      <c r="J112" s="156"/>
      <c r="K112" s="156"/>
      <c r="L112" s="164"/>
      <c r="M112" s="156"/>
      <c r="N112" s="156"/>
      <c r="O112" s="156"/>
      <c r="P112" s="156"/>
      <c r="Q112" s="156"/>
      <c r="R112" s="156"/>
      <c r="S112" s="164"/>
      <c r="T112" s="156"/>
      <c r="U112" s="163" t="s">
        <v>162</v>
      </c>
      <c r="V112" s="156"/>
      <c r="W112" s="156"/>
      <c r="X112" s="202">
        <v>247.06439999999998</v>
      </c>
      <c r="AB112" s="119"/>
      <c r="AC112" s="110">
        <f t="shared" si="2"/>
        <v>0</v>
      </c>
      <c r="AD112" s="110">
        <f t="shared" si="2"/>
        <v>0</v>
      </c>
      <c r="AE112" s="110">
        <f t="shared" si="2"/>
        <v>0</v>
      </c>
      <c r="AF112" s="110">
        <f t="shared" si="2"/>
        <v>0</v>
      </c>
      <c r="AG112" s="110">
        <f t="shared" si="2"/>
        <v>0</v>
      </c>
      <c r="AH112" s="110">
        <f t="shared" si="2"/>
        <v>0</v>
      </c>
      <c r="AI112" s="110">
        <f t="shared" si="2"/>
        <v>0</v>
      </c>
      <c r="AJ112" s="112">
        <f t="shared" si="2"/>
        <v>0</v>
      </c>
      <c r="AK112" s="110">
        <f t="shared" si="2"/>
        <v>-75.6750327969051</v>
      </c>
    </row>
    <row r="113" spans="1:37" ht="15">
      <c r="A113" s="156" t="s">
        <v>163</v>
      </c>
      <c r="B113" s="161"/>
      <c r="C113" s="160">
        <v>2730</v>
      </c>
      <c r="D113" s="156"/>
      <c r="E113" s="157">
        <v>2</v>
      </c>
      <c r="F113" s="157">
        <v>21</v>
      </c>
      <c r="G113" s="157"/>
      <c r="H113" s="157"/>
      <c r="I113" s="164">
        <v>2753</v>
      </c>
      <c r="J113" s="164"/>
      <c r="K113" s="164">
        <v>2753</v>
      </c>
      <c r="L113" s="156"/>
      <c r="M113" s="164"/>
      <c r="N113" s="164"/>
      <c r="O113" s="164">
        <v>2</v>
      </c>
      <c r="P113" s="164"/>
      <c r="Q113" s="164">
        <v>21</v>
      </c>
      <c r="R113" s="156"/>
      <c r="S113" s="156"/>
      <c r="T113" s="156"/>
      <c r="U113" s="163" t="s">
        <v>164</v>
      </c>
      <c r="V113" s="156"/>
      <c r="W113" s="156"/>
      <c r="X113" s="202">
        <v>500.93560000000002</v>
      </c>
      <c r="Y113" s="156"/>
      <c r="AA113" s="105" t="s">
        <v>163</v>
      </c>
      <c r="AB113" s="119"/>
      <c r="AC113" s="120">
        <f t="shared" si="2"/>
        <v>2730</v>
      </c>
      <c r="AD113" s="110">
        <f t="shared" si="2"/>
        <v>0</v>
      </c>
      <c r="AE113" s="110">
        <f t="shared" si="2"/>
        <v>2</v>
      </c>
      <c r="AF113" s="110">
        <f t="shared" si="2"/>
        <v>21</v>
      </c>
      <c r="AG113" s="110">
        <f t="shared" si="2"/>
        <v>0</v>
      </c>
      <c r="AH113" s="110">
        <f t="shared" si="2"/>
        <v>0</v>
      </c>
      <c r="AI113" s="110">
        <f t="shared" si="2"/>
        <v>2753</v>
      </c>
      <c r="AJ113" s="112">
        <f t="shared" si="2"/>
        <v>0</v>
      </c>
      <c r="AK113" s="121">
        <f t="shared" si="2"/>
        <v>2753</v>
      </c>
    </row>
    <row r="114" spans="1:37" ht="15">
      <c r="A114" s="156" t="s">
        <v>165</v>
      </c>
      <c r="B114" s="161"/>
      <c r="C114" s="157">
        <v>3617</v>
      </c>
      <c r="D114" s="156"/>
      <c r="E114" s="157"/>
      <c r="F114" s="156"/>
      <c r="G114" s="157"/>
      <c r="H114" s="157"/>
      <c r="I114" s="164">
        <v>3617</v>
      </c>
      <c r="J114" s="156"/>
      <c r="K114" s="164">
        <v>3617</v>
      </c>
      <c r="L114" s="156"/>
      <c r="M114" s="164"/>
      <c r="N114" s="164"/>
      <c r="O114" s="164">
        <v>0</v>
      </c>
      <c r="P114" s="164"/>
      <c r="Q114" s="164">
        <v>0</v>
      </c>
      <c r="R114" s="156"/>
      <c r="S114" s="156"/>
      <c r="T114" s="156"/>
      <c r="U114" s="156"/>
      <c r="V114" s="156"/>
      <c r="W114" s="156"/>
      <c r="X114" s="156"/>
      <c r="Y114" s="156"/>
      <c r="AA114" s="105" t="s">
        <v>165</v>
      </c>
      <c r="AB114" s="119"/>
      <c r="AC114" s="110">
        <f t="shared" si="2"/>
        <v>3617</v>
      </c>
      <c r="AD114" s="110">
        <f t="shared" si="2"/>
        <v>0</v>
      </c>
      <c r="AE114" s="110">
        <f t="shared" si="2"/>
        <v>0</v>
      </c>
      <c r="AF114" s="110">
        <f t="shared" si="2"/>
        <v>0</v>
      </c>
      <c r="AG114" s="110">
        <f t="shared" si="2"/>
        <v>0</v>
      </c>
      <c r="AH114" s="110">
        <f t="shared" si="2"/>
        <v>0</v>
      </c>
      <c r="AI114" s="110">
        <f t="shared" si="2"/>
        <v>3617</v>
      </c>
      <c r="AJ114" s="112">
        <f t="shared" si="2"/>
        <v>0</v>
      </c>
      <c r="AK114" s="121">
        <f t="shared" si="2"/>
        <v>-13300.330943327237</v>
      </c>
    </row>
    <row r="115" spans="1:37" ht="15">
      <c r="A115" s="156"/>
      <c r="B115" s="161"/>
      <c r="C115" s="157"/>
      <c r="D115" s="156"/>
      <c r="E115" s="157"/>
      <c r="F115" s="156"/>
      <c r="G115" s="157"/>
      <c r="H115" s="157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64">
        <v>284.24</v>
      </c>
      <c r="U115" s="156"/>
      <c r="V115" s="156"/>
      <c r="W115" s="156"/>
      <c r="X115" s="156"/>
      <c r="Y115" s="156"/>
      <c r="AB115" s="119"/>
      <c r="AC115" s="110">
        <f t="shared" si="2"/>
        <v>0</v>
      </c>
      <c r="AD115" s="110">
        <f t="shared" si="2"/>
        <v>0</v>
      </c>
      <c r="AE115" s="110">
        <f t="shared" si="2"/>
        <v>0</v>
      </c>
      <c r="AF115" s="110">
        <f t="shared" si="2"/>
        <v>0</v>
      </c>
      <c r="AG115" s="110">
        <f t="shared" si="2"/>
        <v>0</v>
      </c>
      <c r="AH115" s="110">
        <f t="shared" si="2"/>
        <v>0</v>
      </c>
      <c r="AI115" s="110">
        <f t="shared" si="2"/>
        <v>0</v>
      </c>
      <c r="AJ115" s="112">
        <f t="shared" si="2"/>
        <v>0</v>
      </c>
      <c r="AK115" s="110">
        <f t="shared" si="2"/>
        <v>-6660.0517582020475</v>
      </c>
    </row>
    <row r="116" spans="1:37" ht="15">
      <c r="A116" s="156" t="s">
        <v>166</v>
      </c>
      <c r="B116" s="161"/>
      <c r="C116" s="157"/>
      <c r="D116" s="156"/>
      <c r="E116" s="157"/>
      <c r="F116" s="156"/>
      <c r="G116" s="157"/>
      <c r="H116" s="157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64">
        <v>-284.24</v>
      </c>
      <c r="U116" s="163" t="s">
        <v>167</v>
      </c>
      <c r="V116" s="156"/>
      <c r="W116" s="156"/>
      <c r="X116" s="163" t="s">
        <v>168</v>
      </c>
      <c r="Y116" s="156"/>
      <c r="AA116" s="105" t="s">
        <v>166</v>
      </c>
      <c r="AB116" s="119"/>
      <c r="AC116" s="110">
        <f t="shared" si="2"/>
        <v>0</v>
      </c>
      <c r="AD116" s="110">
        <f t="shared" si="2"/>
        <v>0</v>
      </c>
      <c r="AE116" s="110">
        <f t="shared" si="2"/>
        <v>0</v>
      </c>
      <c r="AF116" s="110">
        <f t="shared" si="2"/>
        <v>0</v>
      </c>
      <c r="AG116" s="110">
        <f t="shared" si="2"/>
        <v>0</v>
      </c>
      <c r="AH116" s="110">
        <f t="shared" si="2"/>
        <v>0</v>
      </c>
      <c r="AI116" s="110">
        <f t="shared" si="2"/>
        <v>0</v>
      </c>
      <c r="AJ116" s="112">
        <f t="shared" si="2"/>
        <v>0</v>
      </c>
      <c r="AK116" s="110">
        <f t="shared" si="2"/>
        <v>-5486.9068051513486</v>
      </c>
    </row>
    <row r="117" spans="1:37" ht="15">
      <c r="A117" s="156" t="s">
        <v>169</v>
      </c>
      <c r="B117" s="161"/>
      <c r="C117" s="176">
        <v>4580</v>
      </c>
      <c r="D117" s="156"/>
      <c r="E117" s="176">
        <v>400</v>
      </c>
      <c r="F117" s="156"/>
      <c r="G117" s="157"/>
      <c r="H117" s="116"/>
      <c r="I117" s="164">
        <v>4980</v>
      </c>
      <c r="J117" s="156"/>
      <c r="K117" s="164">
        <v>4980</v>
      </c>
      <c r="L117" s="156"/>
      <c r="M117" s="164"/>
      <c r="N117" s="164"/>
      <c r="O117" s="164">
        <v>400</v>
      </c>
      <c r="P117" s="164"/>
      <c r="Q117" s="164">
        <v>0</v>
      </c>
      <c r="R117" s="156"/>
      <c r="S117" s="156"/>
      <c r="T117" s="156"/>
      <c r="U117" s="163" t="s">
        <v>170</v>
      </c>
      <c r="V117" s="156"/>
      <c r="W117" s="156"/>
      <c r="X117" s="164">
        <v>335.5172</v>
      </c>
      <c r="Y117" s="163" t="s">
        <v>171</v>
      </c>
      <c r="AA117" s="105" t="s">
        <v>169</v>
      </c>
      <c r="AB117" s="119"/>
      <c r="AC117" s="112">
        <f t="shared" si="2"/>
        <v>4580</v>
      </c>
      <c r="AD117" s="110">
        <f t="shared" si="2"/>
        <v>0</v>
      </c>
      <c r="AE117" s="112">
        <f t="shared" si="2"/>
        <v>400</v>
      </c>
      <c r="AF117" s="110">
        <f t="shared" si="2"/>
        <v>0</v>
      </c>
      <c r="AG117" s="110">
        <f t="shared" si="2"/>
        <v>0</v>
      </c>
      <c r="AH117" s="116">
        <f t="shared" si="2"/>
        <v>0</v>
      </c>
      <c r="AI117" s="110">
        <f t="shared" si="2"/>
        <v>4980</v>
      </c>
      <c r="AJ117" s="112">
        <f t="shared" si="2"/>
        <v>0</v>
      </c>
      <c r="AK117" s="110">
        <f t="shared" si="2"/>
        <v>3806.8550469493011</v>
      </c>
    </row>
    <row r="118" spans="1:37" ht="15">
      <c r="A118" s="156" t="s">
        <v>172</v>
      </c>
      <c r="B118" s="161"/>
      <c r="C118" s="176">
        <v>9690</v>
      </c>
      <c r="D118" s="156"/>
      <c r="E118" s="176">
        <v>773</v>
      </c>
      <c r="F118" s="156"/>
      <c r="G118" s="157"/>
      <c r="H118" s="157"/>
      <c r="I118" s="164">
        <v>10463</v>
      </c>
      <c r="J118" s="176"/>
      <c r="K118" s="164">
        <v>10463</v>
      </c>
      <c r="L118" s="156"/>
      <c r="M118" s="164"/>
      <c r="N118" s="164"/>
      <c r="O118" s="164">
        <v>773</v>
      </c>
      <c r="P118" s="164"/>
      <c r="Q118" s="164">
        <v>0</v>
      </c>
      <c r="R118" s="156"/>
      <c r="S118" s="156"/>
      <c r="T118" s="156"/>
      <c r="U118" s="163" t="s">
        <v>173</v>
      </c>
      <c r="V118" s="156"/>
      <c r="W118" s="156"/>
      <c r="X118" s="202">
        <v>500.93560000000002</v>
      </c>
      <c r="Y118" s="163" t="s">
        <v>174</v>
      </c>
      <c r="AA118" s="105" t="s">
        <v>172</v>
      </c>
      <c r="AB118" s="119"/>
      <c r="AC118" s="112">
        <f t="shared" si="2"/>
        <v>9690</v>
      </c>
      <c r="AD118" s="110">
        <f t="shared" si="2"/>
        <v>0</v>
      </c>
      <c r="AE118" s="112">
        <f t="shared" si="2"/>
        <v>773</v>
      </c>
      <c r="AF118" s="110">
        <f t="shared" si="2"/>
        <v>0</v>
      </c>
      <c r="AG118" s="110">
        <f t="shared" si="2"/>
        <v>0</v>
      </c>
      <c r="AH118" s="110">
        <f t="shared" si="2"/>
        <v>0</v>
      </c>
      <c r="AI118" s="110">
        <f t="shared" si="2"/>
        <v>10463</v>
      </c>
      <c r="AJ118" s="112">
        <f t="shared" si="2"/>
        <v>0</v>
      </c>
      <c r="AK118" s="110">
        <f t="shared" si="2"/>
        <v>10463</v>
      </c>
    </row>
    <row r="119" spans="1:37" ht="15">
      <c r="A119" s="156" t="s">
        <v>175</v>
      </c>
      <c r="B119" s="161"/>
      <c r="C119" s="176">
        <v>737</v>
      </c>
      <c r="D119" s="156"/>
      <c r="E119" s="176"/>
      <c r="F119" s="156"/>
      <c r="G119" s="157"/>
      <c r="H119" s="157"/>
      <c r="I119" s="164">
        <v>737</v>
      </c>
      <c r="J119" s="156"/>
      <c r="K119" s="164">
        <v>737</v>
      </c>
      <c r="L119" s="156"/>
      <c r="M119" s="164"/>
      <c r="N119" s="164"/>
      <c r="O119" s="164">
        <v>0</v>
      </c>
      <c r="P119" s="164"/>
      <c r="Q119" s="164">
        <v>0</v>
      </c>
      <c r="R119" s="156"/>
      <c r="S119" s="156"/>
      <c r="T119" s="156"/>
      <c r="U119" s="163" t="s">
        <v>176</v>
      </c>
      <c r="V119" s="156"/>
      <c r="W119" s="156"/>
      <c r="X119" s="164">
        <v>-165.41840000000002</v>
      </c>
      <c r="Y119" s="163" t="s">
        <v>174</v>
      </c>
      <c r="AA119" s="105" t="s">
        <v>175</v>
      </c>
      <c r="AB119" s="119"/>
      <c r="AC119" s="112">
        <f t="shared" si="2"/>
        <v>737</v>
      </c>
      <c r="AD119" s="110">
        <f t="shared" si="2"/>
        <v>0</v>
      </c>
      <c r="AE119" s="112">
        <f t="shared" si="2"/>
        <v>0</v>
      </c>
      <c r="AF119" s="110">
        <f t="shared" si="2"/>
        <v>0</v>
      </c>
      <c r="AG119" s="110">
        <f t="shared" si="2"/>
        <v>0</v>
      </c>
      <c r="AH119" s="110">
        <f t="shared" si="2"/>
        <v>0</v>
      </c>
      <c r="AI119" s="110">
        <f t="shared" si="2"/>
        <v>737</v>
      </c>
      <c r="AJ119" s="112">
        <f t="shared" si="2"/>
        <v>0</v>
      </c>
      <c r="AK119" s="110">
        <f t="shared" si="2"/>
        <v>-9520.2791851251895</v>
      </c>
    </row>
    <row r="120" spans="1:37" ht="15">
      <c r="A120" s="156" t="s">
        <v>177</v>
      </c>
      <c r="B120" s="161"/>
      <c r="C120" s="178">
        <v>7142</v>
      </c>
      <c r="D120" s="166"/>
      <c r="E120" s="178">
        <v>754</v>
      </c>
      <c r="F120" s="166"/>
      <c r="G120" s="158"/>
      <c r="H120" s="158"/>
      <c r="I120" s="165">
        <v>7896</v>
      </c>
      <c r="J120" s="166"/>
      <c r="K120" s="165">
        <v>7896</v>
      </c>
      <c r="L120" s="156"/>
      <c r="M120" s="164"/>
      <c r="N120" s="164"/>
      <c r="O120" s="165">
        <v>754</v>
      </c>
      <c r="P120" s="164"/>
      <c r="Q120" s="165">
        <v>0</v>
      </c>
      <c r="R120" s="156"/>
      <c r="S120" s="156"/>
      <c r="T120" s="156"/>
      <c r="U120" s="156"/>
      <c r="V120" s="156"/>
      <c r="W120" s="156"/>
      <c r="X120" s="156"/>
      <c r="Y120" s="156"/>
      <c r="AA120" s="105" t="s">
        <v>177</v>
      </c>
      <c r="AB120" s="119"/>
      <c r="AC120" s="114">
        <f t="shared" si="2"/>
        <v>7142</v>
      </c>
      <c r="AD120" s="115">
        <f t="shared" si="2"/>
        <v>0</v>
      </c>
      <c r="AE120" s="114">
        <f t="shared" si="2"/>
        <v>754</v>
      </c>
      <c r="AF120" s="115">
        <f t="shared" si="2"/>
        <v>0</v>
      </c>
      <c r="AG120" s="115">
        <f t="shared" si="2"/>
        <v>0</v>
      </c>
      <c r="AH120" s="115">
        <f t="shared" si="2"/>
        <v>0</v>
      </c>
      <c r="AI120" s="115">
        <f t="shared" si="2"/>
        <v>7896</v>
      </c>
      <c r="AJ120" s="114">
        <f t="shared" si="2"/>
        <v>0</v>
      </c>
      <c r="AK120" s="115">
        <f t="shared" si="2"/>
        <v>7895.4043176475052</v>
      </c>
    </row>
    <row r="121" spans="1:37" ht="15">
      <c r="A121" s="156"/>
      <c r="B121" s="161"/>
      <c r="C121" s="176">
        <v>22149</v>
      </c>
      <c r="D121" s="156"/>
      <c r="E121" s="176">
        <v>1927</v>
      </c>
      <c r="F121" s="157">
        <v>0</v>
      </c>
      <c r="G121" s="157">
        <v>0</v>
      </c>
      <c r="H121" s="157">
        <v>0</v>
      </c>
      <c r="I121" s="157">
        <v>24076</v>
      </c>
      <c r="J121" s="176">
        <v>0</v>
      </c>
      <c r="K121" s="157">
        <v>24076</v>
      </c>
      <c r="L121" s="156"/>
      <c r="M121" s="157"/>
      <c r="N121" s="157"/>
      <c r="O121" s="157">
        <v>1927</v>
      </c>
      <c r="P121" s="157"/>
      <c r="Q121" s="157">
        <v>0</v>
      </c>
      <c r="R121" s="156"/>
      <c r="S121" s="156"/>
      <c r="T121" s="156"/>
      <c r="U121" s="156"/>
      <c r="V121" s="156"/>
      <c r="W121" s="156"/>
      <c r="X121" s="156"/>
      <c r="Y121" s="156"/>
      <c r="AB121" s="119"/>
      <c r="AC121" s="112">
        <f t="shared" si="2"/>
        <v>22149</v>
      </c>
      <c r="AD121" s="110">
        <f t="shared" si="2"/>
        <v>0</v>
      </c>
      <c r="AE121" s="112">
        <f t="shared" si="2"/>
        <v>1927</v>
      </c>
      <c r="AF121" s="110">
        <f t="shared" si="2"/>
        <v>0</v>
      </c>
      <c r="AG121" s="110">
        <f t="shared" si="2"/>
        <v>0</v>
      </c>
      <c r="AH121" s="110">
        <f t="shared" si="2"/>
        <v>0</v>
      </c>
      <c r="AI121" s="110">
        <f t="shared" si="2"/>
        <v>24076</v>
      </c>
      <c r="AJ121" s="112">
        <f t="shared" si="2"/>
        <v>0</v>
      </c>
      <c r="AK121" s="121">
        <f t="shared" si="2"/>
        <v>24076</v>
      </c>
    </row>
    <row r="122" spans="1:37" ht="15">
      <c r="A122" s="156" t="s">
        <v>178</v>
      </c>
      <c r="B122" s="161"/>
      <c r="C122" s="187"/>
      <c r="D122" s="156"/>
      <c r="E122" s="176"/>
      <c r="F122" s="156"/>
      <c r="G122" s="157"/>
      <c r="H122" s="157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AA122" s="105" t="s">
        <v>178</v>
      </c>
      <c r="AB122" s="119"/>
      <c r="AC122" s="122">
        <f t="shared" si="2"/>
        <v>0</v>
      </c>
      <c r="AD122" s="110">
        <f t="shared" si="2"/>
        <v>0</v>
      </c>
      <c r="AE122" s="112">
        <f t="shared" si="2"/>
        <v>0</v>
      </c>
      <c r="AF122" s="110">
        <f t="shared" si="2"/>
        <v>0</v>
      </c>
      <c r="AG122" s="110">
        <f t="shared" si="2"/>
        <v>0</v>
      </c>
      <c r="AH122" s="110">
        <f t="shared" si="2"/>
        <v>0</v>
      </c>
      <c r="AI122" s="110">
        <f t="shared" si="2"/>
        <v>0</v>
      </c>
      <c r="AJ122" s="112">
        <f t="shared" si="2"/>
        <v>0</v>
      </c>
      <c r="AK122" s="110">
        <f t="shared" si="2"/>
        <v>-10552.775973267757</v>
      </c>
    </row>
    <row r="123" spans="1:37" ht="15">
      <c r="A123" s="156" t="s">
        <v>179</v>
      </c>
      <c r="B123" s="161"/>
      <c r="C123" s="176">
        <v>827</v>
      </c>
      <c r="D123" s="156"/>
      <c r="E123" s="176">
        <v>189</v>
      </c>
      <c r="F123" s="156">
        <v>135</v>
      </c>
      <c r="G123" s="157"/>
      <c r="H123" s="157"/>
      <c r="I123" s="164">
        <v>1151</v>
      </c>
      <c r="J123" s="156"/>
      <c r="K123" s="164">
        <v>1151</v>
      </c>
      <c r="L123" s="156"/>
      <c r="M123" s="164"/>
      <c r="N123" s="164"/>
      <c r="O123" s="164">
        <v>189</v>
      </c>
      <c r="P123" s="164"/>
      <c r="Q123" s="164">
        <v>135</v>
      </c>
      <c r="R123" s="156"/>
      <c r="S123" s="156"/>
      <c r="T123" s="156"/>
      <c r="U123" s="156"/>
      <c r="V123" s="156"/>
      <c r="W123" s="156"/>
      <c r="X123" s="156"/>
      <c r="Y123" s="156"/>
      <c r="AA123" s="105" t="s">
        <v>179</v>
      </c>
      <c r="AB123" s="119"/>
      <c r="AC123" s="112">
        <f t="shared" si="2"/>
        <v>827</v>
      </c>
      <c r="AD123" s="110">
        <f t="shared" si="2"/>
        <v>0</v>
      </c>
      <c r="AE123" s="112">
        <f t="shared" si="2"/>
        <v>189</v>
      </c>
      <c r="AF123" s="112">
        <f t="shared" si="2"/>
        <v>135</v>
      </c>
      <c r="AG123" s="110">
        <f t="shared" si="2"/>
        <v>0</v>
      </c>
      <c r="AH123" s="110">
        <f t="shared" si="2"/>
        <v>0</v>
      </c>
      <c r="AI123" s="110">
        <f t="shared" si="2"/>
        <v>1151</v>
      </c>
      <c r="AJ123" s="112">
        <f t="shared" si="2"/>
        <v>0</v>
      </c>
      <c r="AK123" s="121">
        <f t="shared" si="2"/>
        <v>-4557.2018461197977</v>
      </c>
    </row>
    <row r="124" spans="1:37" ht="15">
      <c r="A124" s="156" t="s">
        <v>180</v>
      </c>
      <c r="B124" s="161"/>
      <c r="C124" s="176">
        <v>6748</v>
      </c>
      <c r="D124" s="156"/>
      <c r="E124" s="176">
        <v>211</v>
      </c>
      <c r="F124" s="157">
        <v>100</v>
      </c>
      <c r="G124" s="157"/>
      <c r="H124" s="157"/>
      <c r="I124" s="164">
        <v>7059</v>
      </c>
      <c r="J124" s="156"/>
      <c r="K124" s="164">
        <v>7059</v>
      </c>
      <c r="L124" s="156"/>
      <c r="M124" s="164"/>
      <c r="N124" s="164"/>
      <c r="O124" s="164">
        <v>211</v>
      </c>
      <c r="P124" s="164"/>
      <c r="Q124" s="164">
        <v>100</v>
      </c>
      <c r="R124" s="156"/>
      <c r="S124" s="156"/>
      <c r="T124" s="156"/>
      <c r="U124" s="156"/>
      <c r="V124" s="156"/>
      <c r="W124" s="156"/>
      <c r="X124" s="156"/>
      <c r="Y124" s="156"/>
      <c r="AA124" s="105" t="s">
        <v>180</v>
      </c>
      <c r="AB124" s="119"/>
      <c r="AC124" s="112">
        <f t="shared" ref="AC124:AK139" si="3">C124-C177</f>
        <v>6748</v>
      </c>
      <c r="AD124" s="110">
        <f t="shared" si="3"/>
        <v>0</v>
      </c>
      <c r="AE124" s="112">
        <f t="shared" si="3"/>
        <v>211</v>
      </c>
      <c r="AF124" s="110">
        <f t="shared" si="3"/>
        <v>100</v>
      </c>
      <c r="AG124" s="110">
        <f t="shared" si="3"/>
        <v>0</v>
      </c>
      <c r="AH124" s="110">
        <f t="shared" si="3"/>
        <v>0</v>
      </c>
      <c r="AI124" s="110">
        <f t="shared" si="3"/>
        <v>7059</v>
      </c>
      <c r="AJ124" s="112">
        <f t="shared" si="3"/>
        <v>0</v>
      </c>
      <c r="AK124" s="110">
        <f t="shared" si="3"/>
        <v>2214.4258728520408</v>
      </c>
    </row>
    <row r="125" spans="1:37" ht="15">
      <c r="A125" s="156" t="s">
        <v>181</v>
      </c>
      <c r="B125" s="161"/>
      <c r="C125" s="176">
        <v>8866</v>
      </c>
      <c r="D125" s="156"/>
      <c r="E125" s="176">
        <v>4</v>
      </c>
      <c r="F125" s="157"/>
      <c r="G125" s="157"/>
      <c r="H125" s="157"/>
      <c r="I125" s="164">
        <v>8870</v>
      </c>
      <c r="J125" s="164"/>
      <c r="K125" s="164">
        <v>8870</v>
      </c>
      <c r="L125" s="156"/>
      <c r="M125" s="164"/>
      <c r="N125" s="157"/>
      <c r="O125" s="164">
        <v>4</v>
      </c>
      <c r="P125" s="164"/>
      <c r="Q125" s="164">
        <v>0</v>
      </c>
      <c r="R125" s="156"/>
      <c r="S125" s="156"/>
      <c r="T125" s="156"/>
      <c r="U125" s="156"/>
      <c r="V125" s="156"/>
      <c r="W125" s="156"/>
      <c r="X125" s="156"/>
      <c r="Y125" s="156"/>
      <c r="AA125" s="105" t="s">
        <v>181</v>
      </c>
      <c r="AB125" s="119"/>
      <c r="AC125" s="112">
        <f t="shared" si="3"/>
        <v>8866</v>
      </c>
      <c r="AD125" s="110">
        <f t="shared" si="3"/>
        <v>0</v>
      </c>
      <c r="AE125" s="112">
        <f t="shared" si="3"/>
        <v>4</v>
      </c>
      <c r="AF125" s="110">
        <f t="shared" si="3"/>
        <v>0</v>
      </c>
      <c r="AG125" s="110">
        <f t="shared" si="3"/>
        <v>0</v>
      </c>
      <c r="AH125" s="110">
        <f t="shared" si="3"/>
        <v>0</v>
      </c>
      <c r="AI125" s="110">
        <f t="shared" si="3"/>
        <v>8870</v>
      </c>
      <c r="AJ125" s="112">
        <f t="shared" si="3"/>
        <v>0</v>
      </c>
      <c r="AK125" s="121">
        <f t="shared" si="3"/>
        <v>6339.2422282276839</v>
      </c>
    </row>
    <row r="126" spans="1:37" ht="15">
      <c r="A126" s="156" t="s">
        <v>182</v>
      </c>
      <c r="B126" s="161"/>
      <c r="C126" s="178">
        <v>574</v>
      </c>
      <c r="D126" s="166"/>
      <c r="E126" s="178">
        <v>0</v>
      </c>
      <c r="F126" s="166"/>
      <c r="G126" s="158"/>
      <c r="H126" s="158"/>
      <c r="I126" s="165">
        <v>574</v>
      </c>
      <c r="J126" s="178"/>
      <c r="K126" s="165">
        <v>574</v>
      </c>
      <c r="L126" s="156"/>
      <c r="M126" s="164"/>
      <c r="N126" s="164"/>
      <c r="O126" s="165">
        <v>0</v>
      </c>
      <c r="P126" s="164"/>
      <c r="Q126" s="165">
        <v>0</v>
      </c>
      <c r="R126" s="156"/>
      <c r="S126" s="156"/>
      <c r="T126" s="195"/>
      <c r="U126" s="156"/>
      <c r="V126" s="156"/>
      <c r="W126" s="156"/>
      <c r="X126" s="156"/>
      <c r="Y126" s="156"/>
      <c r="AA126" s="105" t="s">
        <v>182</v>
      </c>
      <c r="AB126" s="119"/>
      <c r="AC126" s="114">
        <f t="shared" si="3"/>
        <v>574</v>
      </c>
      <c r="AD126" s="115">
        <f t="shared" si="3"/>
        <v>0</v>
      </c>
      <c r="AE126" s="114">
        <f t="shared" si="3"/>
        <v>0</v>
      </c>
      <c r="AF126" s="115">
        <f t="shared" si="3"/>
        <v>0</v>
      </c>
      <c r="AG126" s="115">
        <f t="shared" si="3"/>
        <v>0</v>
      </c>
      <c r="AH126" s="115">
        <f t="shared" si="3"/>
        <v>0</v>
      </c>
      <c r="AI126" s="115">
        <f t="shared" si="3"/>
        <v>574</v>
      </c>
      <c r="AJ126" s="114">
        <f t="shared" si="3"/>
        <v>0</v>
      </c>
      <c r="AK126" s="123">
        <f t="shared" si="3"/>
        <v>-1399.1285357426675</v>
      </c>
    </row>
    <row r="127" spans="1:37" ht="15">
      <c r="A127" s="156"/>
      <c r="B127" s="161"/>
      <c r="C127" s="176">
        <v>17015</v>
      </c>
      <c r="D127" s="157">
        <v>0</v>
      </c>
      <c r="E127" s="157">
        <v>404</v>
      </c>
      <c r="F127" s="157">
        <v>235</v>
      </c>
      <c r="G127" s="157">
        <v>0</v>
      </c>
      <c r="H127" s="157">
        <v>0</v>
      </c>
      <c r="I127" s="157">
        <v>17654</v>
      </c>
      <c r="J127" s="176">
        <v>0</v>
      </c>
      <c r="K127" s="157">
        <v>17654</v>
      </c>
      <c r="L127" s="156"/>
      <c r="M127" s="157"/>
      <c r="N127" s="157"/>
      <c r="O127" s="157">
        <v>404</v>
      </c>
      <c r="P127" s="157"/>
      <c r="Q127" s="157">
        <v>235</v>
      </c>
      <c r="R127" s="156"/>
      <c r="S127" s="156"/>
      <c r="T127" s="156"/>
      <c r="U127" s="156"/>
      <c r="V127" s="156"/>
      <c r="W127" s="156"/>
      <c r="X127" s="156"/>
      <c r="Y127" s="156"/>
      <c r="AB127" s="119"/>
      <c r="AC127" s="112">
        <f t="shared" si="3"/>
        <v>17015</v>
      </c>
      <c r="AD127" s="110">
        <f t="shared" si="3"/>
        <v>0</v>
      </c>
      <c r="AE127" s="110">
        <f t="shared" si="3"/>
        <v>404</v>
      </c>
      <c r="AF127" s="110">
        <f t="shared" si="3"/>
        <v>235</v>
      </c>
      <c r="AG127" s="110">
        <f t="shared" si="3"/>
        <v>0</v>
      </c>
      <c r="AH127" s="110">
        <f t="shared" si="3"/>
        <v>0</v>
      </c>
      <c r="AI127" s="110">
        <f t="shared" si="3"/>
        <v>17654</v>
      </c>
      <c r="AJ127" s="112">
        <f t="shared" si="3"/>
        <v>0</v>
      </c>
      <c r="AK127" s="110">
        <f t="shared" si="3"/>
        <v>17452.97853897035</v>
      </c>
    </row>
    <row r="128" spans="1:37" ht="15">
      <c r="A128" s="156"/>
      <c r="B128" s="161"/>
      <c r="C128" s="176"/>
      <c r="D128" s="156"/>
      <c r="E128" s="157"/>
      <c r="F128" s="156"/>
      <c r="G128" s="157"/>
      <c r="H128" s="157"/>
      <c r="I128" s="156"/>
      <c r="J128" s="156"/>
      <c r="K128" s="156"/>
      <c r="L128" s="156"/>
      <c r="M128" s="156"/>
      <c r="N128" s="164"/>
      <c r="O128" s="164">
        <v>0</v>
      </c>
      <c r="P128" s="164"/>
      <c r="Q128" s="164">
        <v>0</v>
      </c>
      <c r="R128" s="156"/>
      <c r="S128" s="156"/>
      <c r="T128" s="156"/>
      <c r="U128" s="156"/>
      <c r="V128" s="156"/>
      <c r="W128" s="156"/>
      <c r="X128" s="156"/>
      <c r="Y128" s="156"/>
      <c r="AB128" s="119"/>
      <c r="AC128" s="112">
        <f t="shared" si="3"/>
        <v>0</v>
      </c>
      <c r="AD128" s="110">
        <f t="shared" si="3"/>
        <v>0</v>
      </c>
      <c r="AE128" s="110">
        <f t="shared" si="3"/>
        <v>0</v>
      </c>
      <c r="AF128" s="110">
        <f t="shared" si="3"/>
        <v>0</v>
      </c>
      <c r="AG128" s="110">
        <f t="shared" si="3"/>
        <v>0</v>
      </c>
      <c r="AH128" s="110">
        <f t="shared" si="3"/>
        <v>0</v>
      </c>
      <c r="AI128" s="110">
        <f t="shared" si="3"/>
        <v>0</v>
      </c>
      <c r="AJ128" s="112">
        <f t="shared" si="3"/>
        <v>0</v>
      </c>
      <c r="AK128" s="110">
        <f t="shared" si="3"/>
        <v>-356.607775</v>
      </c>
    </row>
    <row r="129" spans="1:37" ht="15">
      <c r="A129" s="156" t="s">
        <v>183</v>
      </c>
      <c r="B129" s="124"/>
      <c r="C129" s="176">
        <v>-3569</v>
      </c>
      <c r="D129" s="156"/>
      <c r="E129" s="157">
        <v>17</v>
      </c>
      <c r="F129" s="156"/>
      <c r="G129" s="157"/>
      <c r="H129" s="157"/>
      <c r="I129" s="164">
        <v>-3552</v>
      </c>
      <c r="J129" s="156"/>
      <c r="K129" s="164">
        <v>-3552</v>
      </c>
      <c r="L129" s="156"/>
      <c r="M129" s="164"/>
      <c r="N129" s="164"/>
      <c r="O129" s="164">
        <v>17</v>
      </c>
      <c r="P129" s="164"/>
      <c r="Q129" s="164">
        <v>0</v>
      </c>
      <c r="R129" s="156"/>
      <c r="S129" s="156"/>
      <c r="T129" s="156"/>
      <c r="AA129" s="105" t="s">
        <v>183</v>
      </c>
      <c r="AB129" s="124"/>
      <c r="AC129" s="112">
        <f t="shared" si="3"/>
        <v>-3569</v>
      </c>
      <c r="AD129" s="110">
        <f t="shared" si="3"/>
        <v>0</v>
      </c>
      <c r="AE129" s="110">
        <f t="shared" si="3"/>
        <v>17</v>
      </c>
      <c r="AF129" s="110">
        <f t="shared" si="3"/>
        <v>0</v>
      </c>
      <c r="AG129" s="110">
        <f t="shared" si="3"/>
        <v>0</v>
      </c>
      <c r="AH129" s="110">
        <f t="shared" si="3"/>
        <v>0</v>
      </c>
      <c r="AI129" s="110">
        <f t="shared" si="3"/>
        <v>-3552</v>
      </c>
      <c r="AJ129" s="112">
        <f t="shared" si="3"/>
        <v>0</v>
      </c>
      <c r="AK129" s="110">
        <f t="shared" si="3"/>
        <v>-3333.6666666666665</v>
      </c>
    </row>
    <row r="130" spans="1:37" ht="15">
      <c r="A130" s="156" t="s">
        <v>184</v>
      </c>
      <c r="B130" s="161"/>
      <c r="C130" s="178">
        <v>1395</v>
      </c>
      <c r="D130" s="166"/>
      <c r="E130" s="178">
        <v>0</v>
      </c>
      <c r="F130" s="158"/>
      <c r="G130" s="158"/>
      <c r="H130" s="158"/>
      <c r="I130" s="165">
        <v>1395</v>
      </c>
      <c r="J130" s="166"/>
      <c r="K130" s="165">
        <v>1395</v>
      </c>
      <c r="L130" s="156"/>
      <c r="M130" s="164"/>
      <c r="N130" s="164"/>
      <c r="O130" s="165">
        <v>0</v>
      </c>
      <c r="P130" s="164"/>
      <c r="Q130" s="165">
        <v>0</v>
      </c>
      <c r="R130" s="156"/>
      <c r="S130" s="156"/>
      <c r="T130" s="156"/>
      <c r="AA130" s="105" t="s">
        <v>184</v>
      </c>
      <c r="AB130" s="119"/>
      <c r="AC130" s="114">
        <f t="shared" si="3"/>
        <v>1395</v>
      </c>
      <c r="AD130" s="115">
        <f t="shared" si="3"/>
        <v>0</v>
      </c>
      <c r="AE130" s="114">
        <f t="shared" si="3"/>
        <v>0</v>
      </c>
      <c r="AF130" s="115">
        <f t="shared" si="3"/>
        <v>0</v>
      </c>
      <c r="AG130" s="115">
        <f t="shared" si="3"/>
        <v>0</v>
      </c>
      <c r="AH130" s="115">
        <f t="shared" si="3"/>
        <v>0</v>
      </c>
      <c r="AI130" s="115">
        <f t="shared" si="3"/>
        <v>1395</v>
      </c>
      <c r="AJ130" s="115">
        <f t="shared" si="3"/>
        <v>0</v>
      </c>
      <c r="AK130" s="123">
        <f t="shared" si="3"/>
        <v>1355</v>
      </c>
    </row>
    <row r="131" spans="1:37" ht="15">
      <c r="A131" s="156"/>
      <c r="B131" s="161"/>
      <c r="C131" s="176"/>
      <c r="D131" s="156"/>
      <c r="E131" s="157"/>
      <c r="F131" s="156"/>
      <c r="G131" s="157"/>
      <c r="H131" s="157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AB131" s="119"/>
      <c r="AC131" s="112">
        <f t="shared" si="3"/>
        <v>0</v>
      </c>
      <c r="AD131" s="110">
        <f t="shared" si="3"/>
        <v>0</v>
      </c>
      <c r="AE131" s="110">
        <f t="shared" si="3"/>
        <v>0</v>
      </c>
      <c r="AF131" s="110">
        <f t="shared" si="3"/>
        <v>0</v>
      </c>
      <c r="AG131" s="110">
        <f t="shared" si="3"/>
        <v>0</v>
      </c>
      <c r="AH131" s="110">
        <f t="shared" si="3"/>
        <v>0</v>
      </c>
      <c r="AI131" s="110">
        <f t="shared" si="3"/>
        <v>0</v>
      </c>
      <c r="AJ131" s="110">
        <f t="shared" si="3"/>
        <v>0</v>
      </c>
      <c r="AK131" s="110">
        <f t="shared" si="3"/>
        <v>-250</v>
      </c>
    </row>
    <row r="132" spans="1:37" ht="15">
      <c r="A132" s="156" t="s">
        <v>185</v>
      </c>
      <c r="B132" s="161"/>
      <c r="C132" s="157">
        <v>-1245</v>
      </c>
      <c r="D132" s="157">
        <v>0</v>
      </c>
      <c r="E132" s="157">
        <v>-1907</v>
      </c>
      <c r="F132" s="157">
        <v>-5403</v>
      </c>
      <c r="G132" s="157">
        <v>0</v>
      </c>
      <c r="H132" s="157">
        <v>0</v>
      </c>
      <c r="I132" s="157">
        <v>-8555</v>
      </c>
      <c r="J132" s="157">
        <v>-5024</v>
      </c>
      <c r="K132" s="157">
        <v>-3531</v>
      </c>
      <c r="L132" s="156"/>
      <c r="M132" s="157"/>
      <c r="N132" s="157"/>
      <c r="O132" s="157">
        <v>-2312</v>
      </c>
      <c r="P132" s="157"/>
      <c r="Q132" s="157">
        <v>-5403</v>
      </c>
      <c r="R132" s="156"/>
      <c r="S132" s="156"/>
      <c r="T132" s="156"/>
      <c r="AA132" s="105" t="s">
        <v>185</v>
      </c>
      <c r="AB132" s="119"/>
      <c r="AC132" s="110">
        <f t="shared" si="3"/>
        <v>-1245</v>
      </c>
      <c r="AD132" s="110">
        <f t="shared" si="3"/>
        <v>0</v>
      </c>
      <c r="AE132" s="110">
        <f t="shared" si="3"/>
        <v>-1907</v>
      </c>
      <c r="AF132" s="110">
        <f t="shared" si="3"/>
        <v>-5403</v>
      </c>
      <c r="AG132" s="110">
        <f t="shared" si="3"/>
        <v>0</v>
      </c>
      <c r="AH132" s="110">
        <f t="shared" si="3"/>
        <v>0</v>
      </c>
      <c r="AI132" s="110">
        <f t="shared" si="3"/>
        <v>-8555</v>
      </c>
      <c r="AJ132" s="110">
        <f t="shared" si="3"/>
        <v>-5024</v>
      </c>
      <c r="AK132" s="110">
        <f t="shared" si="3"/>
        <v>-3522.6666666666665</v>
      </c>
    </row>
    <row r="133" spans="1:37" ht="15">
      <c r="A133" s="156"/>
      <c r="B133" s="161"/>
      <c r="C133" s="157"/>
      <c r="D133" s="156"/>
      <c r="E133" s="157"/>
      <c r="F133" s="156"/>
      <c r="G133" s="157"/>
      <c r="H133" s="157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AB133" s="119"/>
      <c r="AC133" s="110">
        <f t="shared" si="3"/>
        <v>0</v>
      </c>
      <c r="AD133" s="110">
        <f t="shared" si="3"/>
        <v>0</v>
      </c>
      <c r="AE133" s="110">
        <f t="shared" si="3"/>
        <v>0</v>
      </c>
      <c r="AF133" s="110">
        <f t="shared" si="3"/>
        <v>0</v>
      </c>
      <c r="AG133" s="110">
        <f t="shared" si="3"/>
        <v>0</v>
      </c>
      <c r="AH133" s="110">
        <f t="shared" si="3"/>
        <v>0</v>
      </c>
      <c r="AI133" s="110">
        <f t="shared" si="3"/>
        <v>0</v>
      </c>
      <c r="AJ133" s="110">
        <f t="shared" si="3"/>
        <v>0</v>
      </c>
      <c r="AK133" s="110">
        <f t="shared" si="3"/>
        <v>0</v>
      </c>
    </row>
    <row r="134" spans="1:37" ht="15">
      <c r="A134" s="156" t="s">
        <v>186</v>
      </c>
      <c r="B134" s="161"/>
      <c r="C134" s="187">
        <v>175</v>
      </c>
      <c r="D134" s="156"/>
      <c r="E134" s="157">
        <v>0</v>
      </c>
      <c r="F134" s="156"/>
      <c r="G134" s="157"/>
      <c r="H134" s="157"/>
      <c r="I134" s="164">
        <v>175</v>
      </c>
      <c r="J134" s="156"/>
      <c r="K134" s="164">
        <v>175</v>
      </c>
      <c r="L134" s="156"/>
      <c r="M134" s="164"/>
      <c r="N134" s="164"/>
      <c r="O134" s="164"/>
      <c r="P134" s="164"/>
      <c r="Q134" s="164">
        <v>0</v>
      </c>
      <c r="R134" s="156"/>
      <c r="S134" s="156"/>
      <c r="T134" s="164"/>
      <c r="AA134" s="105" t="s">
        <v>186</v>
      </c>
      <c r="AB134" s="119"/>
      <c r="AC134" s="122">
        <f t="shared" si="3"/>
        <v>175</v>
      </c>
      <c r="AD134" s="110">
        <f t="shared" si="3"/>
        <v>0</v>
      </c>
      <c r="AE134" s="110">
        <f t="shared" si="3"/>
        <v>0</v>
      </c>
      <c r="AF134" s="110">
        <f t="shared" si="3"/>
        <v>0</v>
      </c>
      <c r="AG134" s="110">
        <f t="shared" si="3"/>
        <v>0</v>
      </c>
      <c r="AH134" s="110">
        <f t="shared" si="3"/>
        <v>0</v>
      </c>
      <c r="AI134" s="110">
        <f t="shared" si="3"/>
        <v>175</v>
      </c>
      <c r="AJ134" s="110">
        <f t="shared" si="3"/>
        <v>0</v>
      </c>
      <c r="AK134" s="110">
        <f t="shared" si="3"/>
        <v>1842.3769621482606</v>
      </c>
    </row>
    <row r="135" spans="1:37" ht="15">
      <c r="A135" s="156"/>
      <c r="B135" s="161"/>
      <c r="C135" s="158"/>
      <c r="D135" s="166"/>
      <c r="E135" s="158"/>
      <c r="F135" s="166"/>
      <c r="G135" s="158"/>
      <c r="H135" s="158"/>
      <c r="I135" s="166"/>
      <c r="J135" s="166"/>
      <c r="K135" s="166"/>
      <c r="L135" s="156"/>
      <c r="M135" s="156"/>
      <c r="N135" s="156"/>
      <c r="O135" s="166"/>
      <c r="P135" s="156"/>
      <c r="Q135" s="166"/>
      <c r="R135" s="156"/>
      <c r="S135" s="156"/>
      <c r="T135" s="156"/>
      <c r="AB135" s="119"/>
      <c r="AC135" s="115">
        <f t="shared" si="3"/>
        <v>0</v>
      </c>
      <c r="AD135" s="115">
        <f t="shared" si="3"/>
        <v>0</v>
      </c>
      <c r="AE135" s="115">
        <f t="shared" si="3"/>
        <v>0</v>
      </c>
      <c r="AF135" s="115">
        <f t="shared" si="3"/>
        <v>0</v>
      </c>
      <c r="AG135" s="115">
        <f t="shared" si="3"/>
        <v>0</v>
      </c>
      <c r="AH135" s="115">
        <f t="shared" si="3"/>
        <v>0</v>
      </c>
      <c r="AI135" s="115">
        <f t="shared" si="3"/>
        <v>0</v>
      </c>
      <c r="AJ135" s="115">
        <f t="shared" si="3"/>
        <v>0</v>
      </c>
      <c r="AK135" s="115">
        <f t="shared" si="3"/>
        <v>-140.84719683872652</v>
      </c>
    </row>
    <row r="136" spans="1:37" ht="15">
      <c r="A136" s="156" t="s">
        <v>187</v>
      </c>
      <c r="B136" s="161"/>
      <c r="C136" s="157">
        <v>-1070</v>
      </c>
      <c r="D136" s="157">
        <v>0</v>
      </c>
      <c r="E136" s="157">
        <v>-1907</v>
      </c>
      <c r="F136" s="157">
        <v>-5403</v>
      </c>
      <c r="G136" s="157">
        <v>0</v>
      </c>
      <c r="H136" s="157">
        <v>0</v>
      </c>
      <c r="I136" s="157">
        <v>-8380</v>
      </c>
      <c r="J136" s="157">
        <v>-5024</v>
      </c>
      <c r="K136" s="157">
        <v>-3356</v>
      </c>
      <c r="L136" s="156"/>
      <c r="M136" s="157"/>
      <c r="N136" s="157"/>
      <c r="O136" s="157">
        <v>-2312</v>
      </c>
      <c r="P136" s="157"/>
      <c r="Q136" s="157">
        <v>-5403</v>
      </c>
      <c r="R136" s="156"/>
      <c r="S136" s="156"/>
      <c r="T136" s="156"/>
      <c r="AA136" s="105" t="s">
        <v>187</v>
      </c>
      <c r="AB136" s="119"/>
      <c r="AC136" s="110">
        <f t="shared" si="3"/>
        <v>-1070</v>
      </c>
      <c r="AD136" s="110">
        <f t="shared" si="3"/>
        <v>0</v>
      </c>
      <c r="AE136" s="110">
        <f t="shared" si="3"/>
        <v>-1907</v>
      </c>
      <c r="AF136" s="110">
        <f t="shared" si="3"/>
        <v>-5403</v>
      </c>
      <c r="AG136" s="110">
        <f t="shared" si="3"/>
        <v>0</v>
      </c>
      <c r="AH136" s="110">
        <f t="shared" si="3"/>
        <v>0</v>
      </c>
      <c r="AI136" s="110">
        <f t="shared" si="3"/>
        <v>-8380</v>
      </c>
      <c r="AJ136" s="110">
        <f t="shared" si="3"/>
        <v>-5024</v>
      </c>
      <c r="AK136" s="110">
        <f t="shared" si="3"/>
        <v>-2689.2710906615084</v>
      </c>
    </row>
    <row r="137" spans="1:37" ht="15">
      <c r="A137" s="156"/>
      <c r="B137" s="161"/>
      <c r="C137" s="157"/>
      <c r="D137" s="156"/>
      <c r="E137" s="157"/>
      <c r="F137" s="156"/>
      <c r="G137" s="157"/>
      <c r="H137" s="157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AB137" s="119"/>
      <c r="AC137" s="110">
        <f t="shared" si="3"/>
        <v>0</v>
      </c>
      <c r="AD137" s="110">
        <f t="shared" si="3"/>
        <v>0</v>
      </c>
      <c r="AE137" s="110">
        <f t="shared" si="3"/>
        <v>0</v>
      </c>
      <c r="AF137" s="110">
        <f t="shared" si="3"/>
        <v>0</v>
      </c>
      <c r="AG137" s="110">
        <f t="shared" si="3"/>
        <v>0</v>
      </c>
      <c r="AH137" s="110">
        <f t="shared" si="3"/>
        <v>0</v>
      </c>
      <c r="AI137" s="110">
        <f t="shared" si="3"/>
        <v>0</v>
      </c>
      <c r="AJ137" s="110">
        <f t="shared" si="3"/>
        <v>0</v>
      </c>
      <c r="AK137" s="110">
        <f t="shared" si="3"/>
        <v>1141.4952496484957</v>
      </c>
    </row>
    <row r="138" spans="1:37" ht="15">
      <c r="A138" s="156" t="s">
        <v>188</v>
      </c>
      <c r="B138" s="161"/>
      <c r="C138" s="187">
        <v>442</v>
      </c>
      <c r="D138" s="156"/>
      <c r="E138" s="157"/>
      <c r="F138" s="156"/>
      <c r="G138" s="157"/>
      <c r="H138" s="157"/>
      <c r="I138" s="164">
        <v>442</v>
      </c>
      <c r="J138" s="156"/>
      <c r="K138" s="164">
        <v>442</v>
      </c>
      <c r="L138" s="156"/>
      <c r="M138" s="164"/>
      <c r="N138" s="164"/>
      <c r="O138" s="164">
        <v>0</v>
      </c>
      <c r="P138" s="164"/>
      <c r="Q138" s="164">
        <v>0</v>
      </c>
      <c r="R138" s="156"/>
      <c r="S138" s="156"/>
      <c r="T138" s="187">
        <v>502</v>
      </c>
      <c r="AA138" s="105" t="s">
        <v>188</v>
      </c>
      <c r="AB138" s="119"/>
      <c r="AC138" s="122">
        <f t="shared" si="3"/>
        <v>442</v>
      </c>
      <c r="AD138" s="110">
        <f t="shared" si="3"/>
        <v>0</v>
      </c>
      <c r="AE138" s="110">
        <f t="shared" si="3"/>
        <v>0</v>
      </c>
      <c r="AF138" s="110">
        <f t="shared" si="3"/>
        <v>0</v>
      </c>
      <c r="AG138" s="110">
        <f t="shared" si="3"/>
        <v>0</v>
      </c>
      <c r="AH138" s="110">
        <f t="shared" si="3"/>
        <v>0</v>
      </c>
      <c r="AI138" s="110">
        <f t="shared" si="3"/>
        <v>442</v>
      </c>
      <c r="AJ138" s="110">
        <f t="shared" si="3"/>
        <v>0</v>
      </c>
      <c r="AK138" s="110">
        <f t="shared" si="3"/>
        <v>1238.9731712558578</v>
      </c>
    </row>
    <row r="139" spans="1:37" ht="15">
      <c r="A139" s="156" t="s">
        <v>189</v>
      </c>
      <c r="B139" s="161"/>
      <c r="C139" s="187">
        <v>1607</v>
      </c>
      <c r="D139" s="156"/>
      <c r="E139" s="157"/>
      <c r="F139" s="156"/>
      <c r="G139" s="157"/>
      <c r="H139" s="157"/>
      <c r="I139" s="164">
        <v>1607</v>
      </c>
      <c r="J139" s="156"/>
      <c r="K139" s="164">
        <v>1607</v>
      </c>
      <c r="L139" s="156"/>
      <c r="M139" s="164"/>
      <c r="N139" s="164"/>
      <c r="O139" s="164">
        <v>0</v>
      </c>
      <c r="P139" s="164"/>
      <c r="Q139" s="164">
        <v>0</v>
      </c>
      <c r="R139" s="156"/>
      <c r="S139" s="156"/>
      <c r="T139" s="187">
        <v>1769</v>
      </c>
      <c r="AA139" s="105" t="s">
        <v>189</v>
      </c>
      <c r="AB139" s="119"/>
      <c r="AC139" s="122">
        <f t="shared" si="3"/>
        <v>1607</v>
      </c>
      <c r="AD139" s="110">
        <f t="shared" si="3"/>
        <v>0</v>
      </c>
      <c r="AE139" s="110">
        <f t="shared" si="3"/>
        <v>0</v>
      </c>
      <c r="AF139" s="110">
        <f t="shared" si="3"/>
        <v>0</v>
      </c>
      <c r="AG139" s="110">
        <f t="shared" si="3"/>
        <v>0</v>
      </c>
      <c r="AH139" s="110">
        <f t="shared" si="3"/>
        <v>0</v>
      </c>
      <c r="AI139" s="110">
        <f t="shared" si="3"/>
        <v>1607</v>
      </c>
      <c r="AJ139" s="110">
        <f t="shared" si="3"/>
        <v>0</v>
      </c>
      <c r="AK139" s="110">
        <f t="shared" si="3"/>
        <v>3955.0360527856596</v>
      </c>
    </row>
    <row r="140" spans="1:37" ht="15">
      <c r="A140" s="163" t="s">
        <v>190</v>
      </c>
      <c r="B140" s="161"/>
      <c r="C140" s="116">
        <v>-615</v>
      </c>
      <c r="D140" s="156"/>
      <c r="E140" s="157"/>
      <c r="F140" s="156"/>
      <c r="G140" s="157"/>
      <c r="H140" s="157"/>
      <c r="I140" s="164">
        <v>-615</v>
      </c>
      <c r="J140" s="164">
        <v>0</v>
      </c>
      <c r="K140" s="164">
        <v>-615</v>
      </c>
      <c r="L140" s="156"/>
      <c r="M140" s="164"/>
      <c r="N140" s="164"/>
      <c r="O140" s="164">
        <v>0</v>
      </c>
      <c r="P140" s="164"/>
      <c r="Q140" s="164">
        <v>0</v>
      </c>
      <c r="R140" s="156"/>
      <c r="S140" s="156"/>
      <c r="T140" s="156"/>
      <c r="AA140" s="113" t="s">
        <v>190</v>
      </c>
      <c r="AB140" s="119"/>
      <c r="AC140" s="116">
        <f t="shared" ref="AC140:AK145" si="4">C140-C193</f>
        <v>-615</v>
      </c>
      <c r="AD140" s="110">
        <f t="shared" si="4"/>
        <v>0</v>
      </c>
      <c r="AE140" s="110">
        <f t="shared" si="4"/>
        <v>0</v>
      </c>
      <c r="AF140" s="110">
        <f t="shared" si="4"/>
        <v>0</v>
      </c>
      <c r="AG140" s="110">
        <f t="shared" si="4"/>
        <v>0</v>
      </c>
      <c r="AH140" s="110">
        <f t="shared" si="4"/>
        <v>0</v>
      </c>
      <c r="AI140" s="110">
        <f t="shared" si="4"/>
        <v>-615</v>
      </c>
      <c r="AJ140" s="110">
        <f t="shared" si="4"/>
        <v>0</v>
      </c>
      <c r="AK140" s="110">
        <f t="shared" si="4"/>
        <v>-1307.3999532733528</v>
      </c>
    </row>
    <row r="141" spans="1:37" ht="15">
      <c r="A141" s="156" t="s">
        <v>191</v>
      </c>
      <c r="B141" s="161"/>
      <c r="C141" s="187">
        <v>640</v>
      </c>
      <c r="D141" s="156"/>
      <c r="E141" s="157">
        <v>-12</v>
      </c>
      <c r="F141" s="156"/>
      <c r="G141" s="157"/>
      <c r="H141" s="157"/>
      <c r="I141" s="164">
        <v>628</v>
      </c>
      <c r="J141" s="156"/>
      <c r="K141" s="164">
        <v>628</v>
      </c>
      <c r="L141" s="156"/>
      <c r="M141" s="164"/>
      <c r="N141" s="164"/>
      <c r="O141" s="164">
        <v>-12</v>
      </c>
      <c r="P141" s="164"/>
      <c r="Q141" s="164">
        <v>0</v>
      </c>
      <c r="R141" s="156"/>
      <c r="S141" s="156"/>
      <c r="T141" s="156"/>
      <c r="AA141" s="105" t="s">
        <v>191</v>
      </c>
      <c r="AB141" s="119"/>
      <c r="AC141" s="122">
        <f t="shared" si="4"/>
        <v>640</v>
      </c>
      <c r="AD141" s="110">
        <f t="shared" si="4"/>
        <v>0</v>
      </c>
      <c r="AE141" s="110">
        <f t="shared" si="4"/>
        <v>-12</v>
      </c>
      <c r="AF141" s="110">
        <f t="shared" si="4"/>
        <v>0</v>
      </c>
      <c r="AG141" s="110">
        <f t="shared" si="4"/>
        <v>0</v>
      </c>
      <c r="AH141" s="110">
        <f t="shared" si="4"/>
        <v>0</v>
      </c>
      <c r="AI141" s="110">
        <f t="shared" si="4"/>
        <v>628</v>
      </c>
      <c r="AJ141" s="110">
        <f t="shared" si="4"/>
        <v>0</v>
      </c>
      <c r="AK141" s="110">
        <f t="shared" si="4"/>
        <v>-447.39833966820834</v>
      </c>
    </row>
    <row r="142" spans="1:37" ht="15">
      <c r="A142" s="156" t="s">
        <v>192</v>
      </c>
      <c r="B142" s="161"/>
      <c r="C142" s="157"/>
      <c r="D142" s="156"/>
      <c r="E142" s="157"/>
      <c r="F142" s="156"/>
      <c r="G142" s="157"/>
      <c r="H142" s="157"/>
      <c r="I142" s="164">
        <v>0</v>
      </c>
      <c r="J142" s="157">
        <v>-15</v>
      </c>
      <c r="K142" s="164">
        <v>-15</v>
      </c>
      <c r="L142" s="156"/>
      <c r="M142" s="164"/>
      <c r="N142" s="164"/>
      <c r="O142" s="164">
        <v>0</v>
      </c>
      <c r="P142" s="164"/>
      <c r="Q142" s="164">
        <v>0</v>
      </c>
      <c r="R142" s="156"/>
      <c r="S142" s="156"/>
      <c r="T142" s="156"/>
      <c r="AA142" s="105" t="s">
        <v>192</v>
      </c>
      <c r="AB142" s="119"/>
      <c r="AC142" s="110">
        <f t="shared" si="4"/>
        <v>0</v>
      </c>
      <c r="AD142" s="110">
        <f t="shared" si="4"/>
        <v>0</v>
      </c>
      <c r="AE142" s="110">
        <f t="shared" si="4"/>
        <v>0</v>
      </c>
      <c r="AF142" s="110">
        <f t="shared" si="4"/>
        <v>0</v>
      </c>
      <c r="AG142" s="110">
        <f t="shared" si="4"/>
        <v>0</v>
      </c>
      <c r="AH142" s="110">
        <f t="shared" si="4"/>
        <v>0</v>
      </c>
      <c r="AI142" s="110">
        <f t="shared" si="4"/>
        <v>0</v>
      </c>
      <c r="AJ142" s="110">
        <f t="shared" si="4"/>
        <v>-15</v>
      </c>
      <c r="AK142" s="110">
        <f t="shared" si="4"/>
        <v>-15.063567849046093</v>
      </c>
    </row>
    <row r="143" spans="1:37" ht="15">
      <c r="A143" s="156"/>
      <c r="B143" s="161"/>
      <c r="C143" s="157"/>
      <c r="D143" s="156"/>
      <c r="E143" s="157"/>
      <c r="F143" s="156"/>
      <c r="G143" s="157"/>
      <c r="H143" s="157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AB143" s="119"/>
      <c r="AC143" s="110">
        <f t="shared" si="4"/>
        <v>0</v>
      </c>
      <c r="AD143" s="110">
        <f t="shared" si="4"/>
        <v>0</v>
      </c>
      <c r="AE143" s="110">
        <f t="shared" si="4"/>
        <v>0</v>
      </c>
      <c r="AF143" s="110">
        <f t="shared" si="4"/>
        <v>0</v>
      </c>
      <c r="AG143" s="110">
        <f t="shared" si="4"/>
        <v>0</v>
      </c>
      <c r="AH143" s="110">
        <f t="shared" si="4"/>
        <v>0</v>
      </c>
      <c r="AI143" s="110">
        <f t="shared" si="4"/>
        <v>0</v>
      </c>
      <c r="AJ143" s="110">
        <f t="shared" si="4"/>
        <v>0</v>
      </c>
      <c r="AK143" s="110">
        <f t="shared" si="4"/>
        <v>0</v>
      </c>
    </row>
    <row r="144" spans="1:37" ht="15.75" thickBot="1">
      <c r="A144" s="156" t="s">
        <v>193</v>
      </c>
      <c r="B144" s="161"/>
      <c r="C144" s="179">
        <v>-3144</v>
      </c>
      <c r="D144" s="179">
        <v>0</v>
      </c>
      <c r="E144" s="179">
        <v>-1895</v>
      </c>
      <c r="F144" s="159">
        <v>-5403</v>
      </c>
      <c r="G144" s="159">
        <v>0</v>
      </c>
      <c r="H144" s="159">
        <v>0</v>
      </c>
      <c r="I144" s="159">
        <v>-10442</v>
      </c>
      <c r="J144" s="159">
        <v>-5009</v>
      </c>
      <c r="K144" s="159">
        <v>-5403</v>
      </c>
      <c r="L144" s="156"/>
      <c r="M144" s="160"/>
      <c r="N144" s="160"/>
      <c r="O144" s="159">
        <v>-2300</v>
      </c>
      <c r="P144" s="160"/>
      <c r="Q144" s="159">
        <v>-5403</v>
      </c>
      <c r="R144" s="156"/>
      <c r="S144" s="156"/>
      <c r="T144" s="156"/>
      <c r="AA144" s="105" t="s">
        <v>193</v>
      </c>
      <c r="AB144" s="119"/>
      <c r="AC144" s="125">
        <f t="shared" si="4"/>
        <v>-3144</v>
      </c>
      <c r="AD144" s="125">
        <f t="shared" si="4"/>
        <v>0</v>
      </c>
      <c r="AE144" s="125">
        <f t="shared" si="4"/>
        <v>-1895</v>
      </c>
      <c r="AF144" s="117">
        <f t="shared" si="4"/>
        <v>-5403</v>
      </c>
      <c r="AG144" s="117">
        <f t="shared" si="4"/>
        <v>0</v>
      </c>
      <c r="AH144" s="117">
        <f t="shared" si="4"/>
        <v>0</v>
      </c>
      <c r="AI144" s="117">
        <f t="shared" si="4"/>
        <v>-10442</v>
      </c>
      <c r="AJ144" s="117">
        <f t="shared" si="4"/>
        <v>-5009</v>
      </c>
      <c r="AK144" s="117">
        <f t="shared" si="4"/>
        <v>-5403</v>
      </c>
    </row>
    <row r="145" spans="1:37" ht="15.75" thickTop="1">
      <c r="A145" s="156"/>
      <c r="B145" s="162"/>
      <c r="C145" s="164"/>
      <c r="D145" s="156"/>
      <c r="E145" s="157"/>
      <c r="F145" s="156"/>
      <c r="G145" s="156"/>
      <c r="H145" s="156"/>
      <c r="I145" s="156"/>
      <c r="J145" s="156"/>
      <c r="K145" s="164">
        <v>0</v>
      </c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AB145" s="126"/>
      <c r="AC145" s="110">
        <f t="shared" si="4"/>
        <v>0</v>
      </c>
      <c r="AD145" s="110">
        <f t="shared" si="4"/>
        <v>0</v>
      </c>
      <c r="AE145" s="110">
        <f t="shared" si="4"/>
        <v>0</v>
      </c>
      <c r="AF145" s="110">
        <f t="shared" si="4"/>
        <v>0</v>
      </c>
      <c r="AG145" s="110">
        <f t="shared" si="4"/>
        <v>0</v>
      </c>
      <c r="AH145" s="110">
        <f t="shared" si="4"/>
        <v>0</v>
      </c>
      <c r="AI145" s="110">
        <f t="shared" si="4"/>
        <v>0</v>
      </c>
      <c r="AJ145" s="110">
        <f t="shared" si="4"/>
        <v>0</v>
      </c>
      <c r="AK145" s="110">
        <f t="shared" si="4"/>
        <v>-927.06666666666672</v>
      </c>
    </row>
    <row r="146" spans="1:37">
      <c r="A146" s="156"/>
      <c r="B146" s="156"/>
      <c r="C146" s="156"/>
      <c r="D146" s="156"/>
      <c r="E146" s="164"/>
      <c r="F146" s="156"/>
      <c r="G146" s="164"/>
      <c r="H146" s="157"/>
      <c r="I146" s="156"/>
      <c r="J146" s="164"/>
      <c r="K146" s="164"/>
      <c r="L146" s="164"/>
      <c r="M146" s="164"/>
      <c r="N146" s="156"/>
      <c r="O146" s="156"/>
      <c r="P146" s="156"/>
      <c r="Q146" s="156"/>
      <c r="R146" s="156"/>
      <c r="S146" s="156"/>
      <c r="T146" s="156"/>
      <c r="U146" s="164"/>
      <c r="V146" s="156"/>
    </row>
    <row r="147" spans="1:37">
      <c r="A147" s="156"/>
      <c r="B147" s="156"/>
      <c r="C147" s="164"/>
      <c r="D147" s="156"/>
      <c r="E147" s="164"/>
      <c r="F147" s="164"/>
      <c r="G147" s="156"/>
      <c r="H147" s="157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</row>
    <row r="148" spans="1:37">
      <c r="A148" s="156"/>
      <c r="B148" s="156"/>
      <c r="C148" s="164"/>
      <c r="D148" s="156"/>
      <c r="E148" s="156"/>
      <c r="F148" s="164"/>
      <c r="G148" s="164"/>
      <c r="H148" s="157"/>
      <c r="I148" s="156"/>
      <c r="J148" s="156"/>
      <c r="K148" s="164"/>
      <c r="L148" s="156"/>
      <c r="M148" s="156"/>
      <c r="N148" s="156"/>
      <c r="O148" s="156"/>
      <c r="P148" s="156"/>
      <c r="Q148" s="164"/>
      <c r="R148" s="156"/>
      <c r="S148" s="156"/>
      <c r="T148" s="163" t="s">
        <v>196</v>
      </c>
      <c r="U148" s="156"/>
      <c r="V148" s="156"/>
    </row>
    <row r="149" spans="1:37">
      <c r="A149" s="163"/>
      <c r="B149" s="156"/>
      <c r="C149" s="156"/>
      <c r="D149" s="156"/>
      <c r="E149" s="156"/>
      <c r="F149" s="156"/>
      <c r="G149" s="156"/>
      <c r="H149" s="157"/>
      <c r="I149" s="156"/>
      <c r="J149" s="156"/>
      <c r="K149" s="164"/>
      <c r="L149" s="156"/>
      <c r="M149" s="156"/>
      <c r="N149" s="156"/>
      <c r="O149" s="156"/>
      <c r="P149" s="156"/>
      <c r="Q149" s="164"/>
      <c r="R149" s="156"/>
      <c r="S149" s="156"/>
      <c r="T149" s="163" t="s">
        <v>198</v>
      </c>
      <c r="U149" s="163" t="s">
        <v>72</v>
      </c>
      <c r="V149" s="163" t="s">
        <v>84</v>
      </c>
    </row>
    <row r="150" spans="1:37">
      <c r="A150" s="163"/>
      <c r="B150" s="156"/>
      <c r="C150" s="156"/>
      <c r="D150" s="156"/>
      <c r="E150" s="156"/>
      <c r="F150" s="156"/>
      <c r="G150" s="156"/>
      <c r="H150" s="157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156"/>
      <c r="T150" s="163" t="s">
        <v>200</v>
      </c>
      <c r="U150" s="157">
        <v>-1710</v>
      </c>
      <c r="V150" s="157">
        <v>-3984</v>
      </c>
    </row>
    <row r="151" spans="1:37">
      <c r="A151" s="156"/>
      <c r="B151" s="156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63" t="s">
        <v>202</v>
      </c>
      <c r="U151" s="157">
        <v>6347</v>
      </c>
      <c r="V151" s="157">
        <v>6370</v>
      </c>
    </row>
    <row r="152" spans="1:37" ht="13.5" thickBot="1">
      <c r="A152" s="156"/>
      <c r="B152" s="156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63" t="s">
        <v>203</v>
      </c>
      <c r="U152" s="157">
        <v>8866</v>
      </c>
      <c r="V152" s="157">
        <v>8870</v>
      </c>
    </row>
    <row r="153" spans="1:37" ht="15">
      <c r="A153" s="189" t="s">
        <v>194</v>
      </c>
      <c r="B153" s="189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63" t="s">
        <v>205</v>
      </c>
      <c r="U153" s="157">
        <v>7107</v>
      </c>
      <c r="V153" s="157">
        <v>7644</v>
      </c>
    </row>
    <row r="154" spans="1:37" ht="15">
      <c r="A154" s="127" t="s">
        <v>195</v>
      </c>
      <c r="B154" s="190"/>
      <c r="C154" s="156"/>
      <c r="D154" s="156"/>
      <c r="E154" s="156"/>
      <c r="F154" s="156"/>
      <c r="G154" s="156"/>
      <c r="H154" s="156"/>
      <c r="I154" s="156"/>
      <c r="J154" s="156"/>
      <c r="K154" s="190">
        <v>19692.932444597227</v>
      </c>
      <c r="L154" s="156"/>
      <c r="M154" s="156"/>
      <c r="N154" s="156"/>
      <c r="O154" s="156"/>
      <c r="P154" s="156"/>
      <c r="Q154" s="156"/>
      <c r="R154" s="156"/>
      <c r="S154" s="156"/>
      <c r="T154" s="163" t="s">
        <v>207</v>
      </c>
      <c r="U154" s="157">
        <v>7916</v>
      </c>
      <c r="V154" s="157">
        <v>6160</v>
      </c>
    </row>
    <row r="155" spans="1:37" ht="15">
      <c r="A155" s="128" t="s">
        <v>197</v>
      </c>
      <c r="B155" s="129"/>
      <c r="C155" s="156"/>
      <c r="D155" s="156"/>
      <c r="E155" s="156"/>
      <c r="F155" s="156"/>
      <c r="G155" s="156"/>
      <c r="H155" s="156"/>
      <c r="I155" s="156"/>
      <c r="J155" s="156"/>
      <c r="K155" s="129">
        <v>18241.092787291091</v>
      </c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</row>
    <row r="156" spans="1:37" ht="15">
      <c r="A156" s="128" t="s">
        <v>199</v>
      </c>
      <c r="B156" s="191"/>
      <c r="C156" s="156"/>
      <c r="D156" s="156"/>
      <c r="E156" s="156"/>
      <c r="F156" s="156"/>
      <c r="G156" s="156"/>
      <c r="H156" s="156"/>
      <c r="I156" s="156"/>
      <c r="J156" s="156"/>
      <c r="K156" s="191">
        <v>1291</v>
      </c>
      <c r="L156" s="156"/>
      <c r="M156" s="156"/>
      <c r="N156" s="156"/>
      <c r="O156" s="156"/>
      <c r="P156" s="156"/>
      <c r="Q156" s="156"/>
      <c r="R156" s="156"/>
      <c r="S156" s="156"/>
      <c r="T156" s="163" t="s">
        <v>210</v>
      </c>
      <c r="U156" s="164">
        <v>176126</v>
      </c>
      <c r="V156" s="164">
        <v>171271</v>
      </c>
    </row>
    <row r="157" spans="1:37" ht="15">
      <c r="A157" s="128" t="s">
        <v>201</v>
      </c>
      <c r="B157" s="191"/>
      <c r="C157" s="156"/>
      <c r="D157" s="156"/>
      <c r="E157" s="156"/>
      <c r="F157" s="156"/>
      <c r="G157" s="156"/>
      <c r="H157" s="156"/>
      <c r="I157" s="156"/>
      <c r="J157" s="156"/>
      <c r="K157" s="191">
        <v>687.81372388884904</v>
      </c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6"/>
    </row>
    <row r="158" spans="1:37" ht="15">
      <c r="A158" s="128" t="s">
        <v>16</v>
      </c>
      <c r="B158" s="129"/>
      <c r="C158" s="156"/>
      <c r="D158" s="156"/>
      <c r="E158" s="156"/>
      <c r="F158" s="156"/>
      <c r="G158" s="156"/>
      <c r="H158" s="156"/>
      <c r="I158" s="156"/>
      <c r="J158" s="156"/>
      <c r="K158" s="129">
        <v>0</v>
      </c>
      <c r="L158" s="156"/>
      <c r="M158" s="156"/>
      <c r="N158" s="156"/>
      <c r="O158" s="156"/>
      <c r="P158" s="156"/>
      <c r="Q158" s="156"/>
      <c r="R158" s="156"/>
      <c r="S158" s="156"/>
      <c r="T158" s="163" t="s">
        <v>213</v>
      </c>
      <c r="U158" s="193">
        <v>22.249368367862555</v>
      </c>
      <c r="V158" s="193">
        <v>27.803733766233766</v>
      </c>
    </row>
    <row r="159" spans="1:37" ht="15">
      <c r="A159" s="130" t="s">
        <v>204</v>
      </c>
      <c r="B159" s="131"/>
      <c r="C159" s="156"/>
      <c r="D159" s="156"/>
      <c r="E159" s="156"/>
      <c r="F159" s="156"/>
      <c r="G159" s="156"/>
      <c r="H159" s="156"/>
      <c r="I159" s="156"/>
      <c r="J159" s="156"/>
      <c r="K159" s="131">
        <v>526.97406658271257</v>
      </c>
      <c r="L159" s="156"/>
      <c r="M159" s="156"/>
      <c r="N159" s="156"/>
      <c r="O159" s="156"/>
      <c r="P159" s="156"/>
      <c r="Q159" s="156"/>
      <c r="R159" s="156"/>
      <c r="S159" s="156"/>
      <c r="T159" s="163" t="s">
        <v>213</v>
      </c>
      <c r="U159" s="193">
        <v>3.5</v>
      </c>
      <c r="V159" s="193">
        <v>3.5</v>
      </c>
    </row>
    <row r="160" spans="1:37" ht="15">
      <c r="A160" s="130" t="s">
        <v>206</v>
      </c>
      <c r="B160" s="131"/>
      <c r="C160" s="156"/>
      <c r="D160" s="156"/>
      <c r="E160" s="156"/>
      <c r="F160" s="156"/>
      <c r="G160" s="156"/>
      <c r="H160" s="156"/>
      <c r="I160" s="156"/>
      <c r="J160" s="156"/>
      <c r="K160" s="131">
        <v>0</v>
      </c>
      <c r="L160" s="156"/>
      <c r="M160" s="156"/>
      <c r="N160" s="156"/>
      <c r="O160" s="156"/>
      <c r="P160" s="156"/>
      <c r="Q160" s="156"/>
      <c r="R160" s="156"/>
      <c r="S160" s="156"/>
      <c r="T160" s="163" t="s">
        <v>216</v>
      </c>
      <c r="U160" s="193">
        <v>-18.749368367862555</v>
      </c>
      <c r="V160" s="193">
        <v>-24.303733766233766</v>
      </c>
    </row>
    <row r="161" spans="1:22" ht="15">
      <c r="A161" s="130" t="s">
        <v>208</v>
      </c>
      <c r="B161" s="131"/>
      <c r="C161" s="156"/>
      <c r="D161" s="156"/>
      <c r="E161" s="156"/>
      <c r="F161" s="156"/>
      <c r="G161" s="156"/>
      <c r="H161" s="156"/>
      <c r="I161" s="156"/>
      <c r="J161" s="156"/>
      <c r="K161" s="131">
        <v>0</v>
      </c>
      <c r="L161" s="156"/>
      <c r="M161" s="156"/>
      <c r="N161" s="156"/>
      <c r="O161" s="156"/>
      <c r="P161" s="156"/>
      <c r="Q161" s="156"/>
      <c r="R161" s="156"/>
      <c r="S161" s="156"/>
      <c r="T161" s="163" t="s">
        <v>218</v>
      </c>
      <c r="U161" s="164">
        <v>42405.714285714283</v>
      </c>
      <c r="V161" s="164">
        <v>42774.571428571428</v>
      </c>
    </row>
    <row r="162" spans="1:22" ht="15">
      <c r="A162" s="132" t="s">
        <v>209</v>
      </c>
      <c r="B162" s="131"/>
      <c r="C162" s="156"/>
      <c r="D162" s="156"/>
      <c r="E162" s="156"/>
      <c r="F162" s="156"/>
      <c r="G162" s="156"/>
      <c r="H162" s="156"/>
      <c r="I162" s="156"/>
      <c r="J162" s="156"/>
      <c r="K162" s="131">
        <v>2775.6015012699886</v>
      </c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</row>
    <row r="163" spans="1:22" ht="15">
      <c r="A163" s="133" t="s">
        <v>211</v>
      </c>
      <c r="B163" s="129"/>
      <c r="C163" s="156"/>
      <c r="D163" s="156"/>
      <c r="E163" s="156"/>
      <c r="F163" s="156"/>
      <c r="G163" s="156"/>
      <c r="H163" s="156"/>
      <c r="I163" s="156"/>
      <c r="J163" s="156"/>
      <c r="K163" s="129">
        <v>2665.8305620537099</v>
      </c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</row>
    <row r="164" spans="1:22" ht="15">
      <c r="A164" s="133" t="s">
        <v>212</v>
      </c>
      <c r="B164" s="129"/>
      <c r="C164" s="156"/>
      <c r="D164" s="156"/>
      <c r="E164" s="156"/>
      <c r="F164" s="156"/>
      <c r="G164" s="156"/>
      <c r="H164" s="156"/>
      <c r="I164" s="156"/>
      <c r="J164" s="156"/>
      <c r="K164" s="129">
        <v>185.44597201318413</v>
      </c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6"/>
    </row>
    <row r="165" spans="1:22" ht="15">
      <c r="A165" s="130" t="s">
        <v>214</v>
      </c>
      <c r="B165" s="129"/>
      <c r="C165" s="156"/>
      <c r="D165" s="156"/>
      <c r="E165" s="156"/>
      <c r="F165" s="156"/>
      <c r="G165" s="156"/>
      <c r="H165" s="156"/>
      <c r="I165" s="156"/>
      <c r="J165" s="156"/>
      <c r="K165" s="129">
        <v>75.6750327969051</v>
      </c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</row>
    <row r="166" spans="1:22" ht="15">
      <c r="A166" s="130" t="s">
        <v>215</v>
      </c>
      <c r="B166" s="131"/>
      <c r="C166" s="156"/>
      <c r="D166" s="156"/>
      <c r="E166" s="156"/>
      <c r="F166" s="156"/>
      <c r="G166" s="156"/>
      <c r="H166" s="156"/>
      <c r="I166" s="156"/>
      <c r="J166" s="156"/>
      <c r="K166" s="131">
        <v>0</v>
      </c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</row>
    <row r="167" spans="1:22" ht="15">
      <c r="A167" s="135" t="s">
        <v>217</v>
      </c>
      <c r="B167" s="136"/>
      <c r="C167" s="156"/>
      <c r="D167" s="156"/>
      <c r="E167" s="156"/>
      <c r="F167" s="156"/>
      <c r="G167" s="156"/>
      <c r="H167" s="156"/>
      <c r="I167" s="156"/>
      <c r="J167" s="156"/>
      <c r="K167" s="136">
        <v>16917.330943327237</v>
      </c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</row>
    <row r="168" spans="1:22" ht="15">
      <c r="A168" s="137" t="s">
        <v>219</v>
      </c>
      <c r="B168" s="129"/>
      <c r="C168" s="156"/>
      <c r="D168" s="156"/>
      <c r="E168" s="156"/>
      <c r="F168" s="156"/>
      <c r="G168" s="156"/>
      <c r="H168" s="156"/>
      <c r="I168" s="156"/>
      <c r="J168" s="156"/>
      <c r="K168" s="129">
        <v>6660.0517582020475</v>
      </c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</row>
    <row r="169" spans="1:22" ht="15">
      <c r="A169" s="128" t="s">
        <v>220</v>
      </c>
      <c r="B169" s="131"/>
      <c r="C169" s="156"/>
      <c r="D169" s="156"/>
      <c r="E169" s="156"/>
      <c r="F169" s="156"/>
      <c r="G169" s="156"/>
      <c r="H169" s="156"/>
      <c r="I169" s="156"/>
      <c r="J169" s="156"/>
      <c r="K169" s="131">
        <v>5486.9068051513486</v>
      </c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</row>
    <row r="170" spans="1:22" ht="15">
      <c r="A170" s="128" t="s">
        <v>201</v>
      </c>
      <c r="B170" s="131"/>
      <c r="C170" s="156"/>
      <c r="D170" s="156"/>
      <c r="E170" s="156"/>
      <c r="F170" s="156"/>
      <c r="G170" s="156"/>
      <c r="H170" s="156"/>
      <c r="I170" s="156"/>
      <c r="J170" s="156"/>
      <c r="K170" s="131">
        <v>1173.1449530506991</v>
      </c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</row>
    <row r="171" spans="1:22" ht="15">
      <c r="A171" s="128" t="s">
        <v>221</v>
      </c>
      <c r="B171" s="131"/>
      <c r="C171" s="156"/>
      <c r="D171" s="156"/>
      <c r="E171" s="156"/>
      <c r="F171" s="156"/>
      <c r="G171" s="156"/>
      <c r="H171" s="156"/>
      <c r="I171" s="156"/>
      <c r="J171" s="156"/>
      <c r="K171" s="131">
        <v>0</v>
      </c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</row>
    <row r="172" spans="1:22" ht="15">
      <c r="A172" s="135" t="s">
        <v>2</v>
      </c>
      <c r="B172" s="136"/>
      <c r="C172" s="156"/>
      <c r="D172" s="156"/>
      <c r="E172" s="156"/>
      <c r="F172" s="156"/>
      <c r="G172" s="156"/>
      <c r="H172" s="156"/>
      <c r="I172" s="156"/>
      <c r="J172" s="156"/>
      <c r="K172" s="136">
        <v>10257.27918512519</v>
      </c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</row>
    <row r="173" spans="1:22" ht="15">
      <c r="A173" s="138" t="s">
        <v>4</v>
      </c>
      <c r="B173" s="139"/>
      <c r="C173" s="156"/>
      <c r="D173" s="156"/>
      <c r="E173" s="156"/>
      <c r="F173" s="156"/>
      <c r="G173" s="156"/>
      <c r="H173" s="156"/>
      <c r="I173" s="156"/>
      <c r="J173" s="156"/>
      <c r="K173" s="139">
        <v>0.59568235249464341</v>
      </c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</row>
    <row r="174" spans="1:22" ht="15">
      <c r="A174" s="138"/>
      <c r="B174" s="140"/>
      <c r="C174" s="156"/>
      <c r="D174" s="156"/>
      <c r="E174" s="156"/>
      <c r="F174" s="156"/>
      <c r="G174" s="156"/>
      <c r="H174" s="156"/>
      <c r="I174" s="156"/>
      <c r="J174" s="156"/>
      <c r="K174" s="140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</row>
    <row r="175" spans="1:22" ht="15">
      <c r="A175" s="141" t="s">
        <v>51</v>
      </c>
      <c r="B175" s="129"/>
      <c r="C175" s="156"/>
      <c r="D175" s="156"/>
      <c r="E175" s="156"/>
      <c r="F175" s="156"/>
      <c r="G175" s="156"/>
      <c r="H175" s="156"/>
      <c r="I175" s="156"/>
      <c r="J175" s="156"/>
      <c r="K175" s="129">
        <v>10552.775973267757</v>
      </c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</row>
    <row r="176" spans="1:22" ht="15">
      <c r="A176" s="142" t="s">
        <v>222</v>
      </c>
      <c r="B176" s="143"/>
      <c r="C176" s="156"/>
      <c r="D176" s="156"/>
      <c r="E176" s="156"/>
      <c r="F176" s="156"/>
      <c r="G176" s="156"/>
      <c r="H176" s="156"/>
      <c r="I176" s="156"/>
      <c r="J176" s="156"/>
      <c r="K176" s="143">
        <v>5708.2018461197977</v>
      </c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</row>
    <row r="177" spans="1:17" ht="15">
      <c r="A177" s="142" t="s">
        <v>223</v>
      </c>
      <c r="B177" s="129"/>
      <c r="C177" s="156"/>
      <c r="D177" s="156"/>
      <c r="E177" s="156"/>
      <c r="F177" s="156"/>
      <c r="G177" s="156"/>
      <c r="H177" s="156"/>
      <c r="I177" s="156"/>
      <c r="J177" s="156"/>
      <c r="K177" s="129">
        <v>4844.5741271479592</v>
      </c>
      <c r="Q177" s="111"/>
    </row>
    <row r="178" spans="1:17" ht="15">
      <c r="A178" s="141" t="s">
        <v>224</v>
      </c>
      <c r="B178" s="129"/>
      <c r="C178" s="156"/>
      <c r="D178" s="156"/>
      <c r="E178" s="156"/>
      <c r="F178" s="156"/>
      <c r="G178" s="156"/>
      <c r="H178" s="156"/>
      <c r="I178" s="156"/>
      <c r="J178" s="156"/>
      <c r="K178" s="129">
        <v>2530.7577717723161</v>
      </c>
      <c r="Q178" s="111"/>
    </row>
    <row r="179" spans="1:17" ht="15">
      <c r="A179" s="127" t="s">
        <v>224</v>
      </c>
      <c r="B179" s="129"/>
      <c r="C179" s="156"/>
      <c r="D179" s="156"/>
      <c r="E179" s="156"/>
      <c r="F179" s="156"/>
      <c r="G179" s="156"/>
      <c r="H179" s="156"/>
      <c r="I179" s="156"/>
      <c r="J179" s="156"/>
      <c r="K179" s="129">
        <v>1973.1285357426675</v>
      </c>
      <c r="Q179" s="111"/>
    </row>
    <row r="180" spans="1:17" ht="15">
      <c r="A180" s="127" t="s">
        <v>3</v>
      </c>
      <c r="B180" s="144"/>
      <c r="C180" s="156"/>
      <c r="D180" s="156"/>
      <c r="E180" s="156"/>
      <c r="F180" s="156"/>
      <c r="G180" s="156"/>
      <c r="H180" s="156"/>
      <c r="I180" s="156"/>
      <c r="J180" s="156"/>
      <c r="K180" s="144">
        <v>201.02146102964883</v>
      </c>
      <c r="Q180" s="111"/>
    </row>
    <row r="181" spans="1:17" ht="15">
      <c r="A181" s="127" t="s">
        <v>225</v>
      </c>
      <c r="B181" s="145"/>
      <c r="C181" s="156"/>
      <c r="D181" s="156"/>
      <c r="E181" s="156"/>
      <c r="F181" s="156"/>
      <c r="G181" s="156"/>
      <c r="H181" s="156"/>
      <c r="I181" s="156"/>
      <c r="J181" s="156"/>
      <c r="K181" s="145">
        <v>356.607775</v>
      </c>
      <c r="Q181" s="111"/>
    </row>
    <row r="182" spans="1:17" ht="15">
      <c r="A182" s="141" t="s">
        <v>226</v>
      </c>
      <c r="B182" s="129"/>
      <c r="C182" s="156"/>
      <c r="D182" s="156"/>
      <c r="E182" s="156"/>
      <c r="F182" s="156"/>
      <c r="G182" s="156"/>
      <c r="H182" s="156"/>
      <c r="I182" s="156"/>
      <c r="J182" s="156"/>
      <c r="K182" s="129">
        <v>-218.33333333333334</v>
      </c>
      <c r="Q182" s="111"/>
    </row>
    <row r="183" spans="1:17" ht="15">
      <c r="A183" s="127" t="s">
        <v>227</v>
      </c>
      <c r="B183" s="145"/>
      <c r="C183" s="156"/>
      <c r="D183" s="156"/>
      <c r="E183" s="156"/>
      <c r="F183" s="156"/>
      <c r="G183" s="156"/>
      <c r="H183" s="156"/>
      <c r="I183" s="156"/>
      <c r="J183" s="156"/>
      <c r="K183" s="145">
        <v>40</v>
      </c>
      <c r="Q183" s="111"/>
    </row>
    <row r="184" spans="1:17" ht="15">
      <c r="A184" s="127" t="s">
        <v>228</v>
      </c>
      <c r="B184" s="144"/>
      <c r="C184" s="156"/>
      <c r="D184" s="156"/>
      <c r="E184" s="156"/>
      <c r="F184" s="156"/>
      <c r="G184" s="156"/>
      <c r="H184" s="156"/>
      <c r="I184" s="156"/>
      <c r="J184" s="156"/>
      <c r="K184" s="144">
        <v>250</v>
      </c>
      <c r="Q184" s="111"/>
    </row>
    <row r="185" spans="1:17" ht="15">
      <c r="A185" s="142" t="s">
        <v>229</v>
      </c>
      <c r="B185" s="131"/>
      <c r="C185" s="156"/>
      <c r="D185" s="156"/>
      <c r="E185" s="156"/>
      <c r="F185" s="156"/>
      <c r="G185" s="156"/>
      <c r="H185" s="156"/>
      <c r="I185" s="156"/>
      <c r="J185" s="156"/>
      <c r="K185" s="131">
        <v>-8.3333333333333339</v>
      </c>
      <c r="Q185" s="111"/>
    </row>
    <row r="186" spans="1:17" ht="15">
      <c r="A186" s="127" t="s">
        <v>230</v>
      </c>
      <c r="B186" s="146"/>
      <c r="C186" s="156"/>
      <c r="D186" s="156"/>
      <c r="E186" s="156"/>
      <c r="F186" s="156"/>
      <c r="G186" s="156"/>
      <c r="H186" s="156"/>
      <c r="I186" s="156"/>
      <c r="J186" s="156"/>
      <c r="K186" s="146">
        <v>0</v>
      </c>
      <c r="Q186" s="111"/>
    </row>
    <row r="187" spans="1:17" ht="15">
      <c r="A187" s="141" t="s">
        <v>231</v>
      </c>
      <c r="B187" s="129"/>
      <c r="C187" s="156"/>
      <c r="D187" s="156"/>
      <c r="E187" s="156"/>
      <c r="F187" s="156"/>
      <c r="G187" s="156"/>
      <c r="H187" s="156"/>
      <c r="I187" s="156"/>
      <c r="J187" s="156"/>
      <c r="K187" s="129">
        <v>-1667.3769621482606</v>
      </c>
      <c r="Q187" s="111"/>
    </row>
    <row r="188" spans="1:17" ht="15">
      <c r="A188" s="127" t="s">
        <v>232</v>
      </c>
      <c r="B188" s="144"/>
      <c r="C188" s="156"/>
      <c r="D188" s="156"/>
      <c r="E188" s="156"/>
      <c r="F188" s="156"/>
      <c r="G188" s="156"/>
      <c r="H188" s="156"/>
      <c r="I188" s="156"/>
      <c r="J188" s="156"/>
      <c r="K188" s="144">
        <v>140.84719683872652</v>
      </c>
      <c r="Q188" s="111"/>
    </row>
    <row r="189" spans="1:17" ht="15">
      <c r="A189" s="127" t="s">
        <v>233</v>
      </c>
      <c r="B189" s="144"/>
      <c r="C189" s="156"/>
      <c r="D189" s="156"/>
      <c r="E189" s="156"/>
      <c r="F189" s="156"/>
      <c r="G189" s="156"/>
      <c r="H189" s="156"/>
      <c r="I189" s="156"/>
      <c r="J189" s="156"/>
      <c r="K189" s="144">
        <v>-666.72890933849135</v>
      </c>
      <c r="Q189" s="111"/>
    </row>
    <row r="190" spans="1:17" ht="15">
      <c r="A190" s="142" t="s">
        <v>234</v>
      </c>
      <c r="B190" s="144"/>
      <c r="C190" s="156"/>
      <c r="D190" s="156"/>
      <c r="E190" s="156"/>
      <c r="F190" s="156"/>
      <c r="G190" s="156"/>
      <c r="H190" s="156"/>
      <c r="I190" s="156"/>
      <c r="J190" s="156"/>
      <c r="K190" s="144">
        <v>-1141.4952496484957</v>
      </c>
      <c r="Q190" s="111"/>
    </row>
    <row r="191" spans="1:17" ht="15">
      <c r="A191" s="141" t="s">
        <v>235</v>
      </c>
      <c r="B191" s="131"/>
      <c r="C191" s="156"/>
      <c r="D191" s="156"/>
      <c r="E191" s="156"/>
      <c r="F191" s="156"/>
      <c r="G191" s="156"/>
      <c r="H191" s="156"/>
      <c r="I191" s="156"/>
      <c r="J191" s="156"/>
      <c r="K191" s="131">
        <v>-796.97317125585778</v>
      </c>
      <c r="Q191" s="111"/>
    </row>
    <row r="192" spans="1:17" ht="15">
      <c r="A192" s="141" t="s">
        <v>236</v>
      </c>
      <c r="B192" s="131"/>
      <c r="C192" s="156"/>
      <c r="D192" s="156"/>
      <c r="E192" s="156"/>
      <c r="F192" s="156"/>
      <c r="G192" s="156"/>
      <c r="H192" s="156"/>
      <c r="I192" s="156"/>
      <c r="J192" s="156"/>
      <c r="K192" s="131">
        <v>-2348.0360527856596</v>
      </c>
      <c r="Q192" s="111"/>
    </row>
    <row r="193" spans="1:17" ht="15">
      <c r="A193" s="141" t="s">
        <v>237</v>
      </c>
      <c r="B193" s="147"/>
      <c r="C193" s="156"/>
      <c r="D193" s="156"/>
      <c r="E193" s="156"/>
      <c r="F193" s="156"/>
      <c r="G193" s="156"/>
      <c r="H193" s="156"/>
      <c r="I193" s="156"/>
      <c r="J193" s="156"/>
      <c r="K193" s="147">
        <v>692.39995327335271</v>
      </c>
      <c r="Q193" s="111"/>
    </row>
    <row r="194" spans="1:17" ht="15">
      <c r="A194" s="148" t="s">
        <v>238</v>
      </c>
      <c r="B194" s="136"/>
      <c r="C194" s="156"/>
      <c r="D194" s="156"/>
      <c r="E194" s="156"/>
      <c r="F194" s="156"/>
      <c r="G194" s="156"/>
      <c r="H194" s="156"/>
      <c r="I194" s="156"/>
      <c r="J194" s="156"/>
      <c r="K194" s="136">
        <v>1075.3983396682083</v>
      </c>
      <c r="Q194" s="111"/>
    </row>
    <row r="195" spans="1:17" ht="15">
      <c r="A195" s="149" t="s">
        <v>7</v>
      </c>
      <c r="B195" s="150"/>
      <c r="C195" s="156"/>
      <c r="D195" s="156"/>
      <c r="E195" s="156"/>
      <c r="F195" s="156"/>
      <c r="G195" s="156"/>
      <c r="H195" s="156"/>
      <c r="I195" s="156"/>
      <c r="J195" s="156"/>
      <c r="K195" s="150">
        <v>6.3567849046092084E-2</v>
      </c>
      <c r="Q195" s="111"/>
    </row>
    <row r="196" spans="1:17" ht="15.75" thickBot="1">
      <c r="A196" s="149"/>
      <c r="B196" s="140"/>
      <c r="C196" s="156"/>
      <c r="D196" s="156"/>
      <c r="E196" s="156"/>
      <c r="F196" s="156"/>
      <c r="G196" s="156"/>
      <c r="H196" s="156"/>
      <c r="I196" s="156"/>
      <c r="J196" s="156"/>
      <c r="K196" s="140"/>
      <c r="Q196" s="111"/>
    </row>
    <row r="197" spans="1:17" ht="15">
      <c r="A197" s="151" t="s">
        <v>239</v>
      </c>
      <c r="B197" s="152"/>
      <c r="C197" s="156"/>
      <c r="D197" s="156"/>
      <c r="E197" s="156"/>
      <c r="F197" s="156"/>
      <c r="G197" s="156"/>
      <c r="H197" s="156"/>
      <c r="I197" s="156"/>
      <c r="J197" s="156"/>
      <c r="K197" s="152"/>
      <c r="Q197" s="111"/>
    </row>
    <row r="198" spans="1:17" ht="15">
      <c r="A198" s="142" t="s">
        <v>240</v>
      </c>
      <c r="B198" s="131"/>
      <c r="C198" s="156"/>
      <c r="D198" s="156"/>
      <c r="E198" s="156"/>
      <c r="F198" s="156"/>
      <c r="G198" s="156"/>
      <c r="H198" s="156"/>
      <c r="I198" s="156"/>
      <c r="J198" s="156"/>
      <c r="K198" s="131">
        <v>927.06666666666672</v>
      </c>
      <c r="Q198" s="111"/>
    </row>
    <row r="199" spans="1:17" ht="15">
      <c r="A199" s="142" t="s">
        <v>241</v>
      </c>
      <c r="B199" s="131"/>
      <c r="C199" s="156"/>
      <c r="D199" s="156"/>
      <c r="E199" s="156"/>
      <c r="F199" s="156"/>
      <c r="G199" s="156"/>
      <c r="H199" s="156"/>
      <c r="I199" s="156"/>
      <c r="J199" s="156"/>
      <c r="K199" s="131">
        <v>0</v>
      </c>
      <c r="Q199" s="111"/>
    </row>
    <row r="200" spans="1:17" ht="15">
      <c r="A200" s="142" t="s">
        <v>242</v>
      </c>
      <c r="B200" s="153"/>
      <c r="C200" s="156"/>
      <c r="D200" s="156"/>
      <c r="E200" s="156"/>
      <c r="F200" s="156"/>
      <c r="G200" s="156"/>
      <c r="H200" s="156"/>
      <c r="I200" s="156"/>
      <c r="J200" s="156"/>
      <c r="K200" s="153">
        <v>0</v>
      </c>
      <c r="Q200" s="111"/>
    </row>
    <row r="201" spans="1:17" ht="15">
      <c r="A201" s="148" t="s">
        <v>243</v>
      </c>
      <c r="B201" s="136"/>
      <c r="C201" s="156"/>
      <c r="D201" s="156"/>
      <c r="E201" s="156"/>
      <c r="F201" s="156"/>
      <c r="G201" s="156"/>
      <c r="H201" s="156"/>
      <c r="I201" s="156"/>
      <c r="J201" s="156"/>
      <c r="K201" s="136">
        <v>2002.4650063348749</v>
      </c>
      <c r="Q201" s="111"/>
    </row>
    <row r="202" spans="1:17" ht="15">
      <c r="A202" s="154" t="s">
        <v>6</v>
      </c>
      <c r="B202" s="150"/>
      <c r="C202" s="156"/>
      <c r="D202" s="156"/>
      <c r="E202" s="156"/>
      <c r="F202" s="156"/>
      <c r="G202" s="156"/>
      <c r="H202" s="156"/>
      <c r="I202" s="156"/>
      <c r="J202" s="156"/>
      <c r="K202" s="150">
        <v>0.11836766763286111</v>
      </c>
      <c r="Q202" s="111"/>
    </row>
    <row r="203" spans="1:17" ht="15">
      <c r="A203" s="155"/>
      <c r="B203" s="140"/>
      <c r="C203" s="156"/>
      <c r="D203" s="156"/>
      <c r="E203" s="156"/>
      <c r="F203" s="156"/>
      <c r="G203" s="156"/>
      <c r="H203" s="156"/>
      <c r="I203" s="156"/>
      <c r="J203" s="156"/>
      <c r="K203" s="140"/>
      <c r="Q203" s="111"/>
    </row>
    <row r="204" spans="1:17" ht="15">
      <c r="A204" s="142" t="s">
        <v>244</v>
      </c>
      <c r="B204" s="131"/>
      <c r="C204" s="156"/>
      <c r="D204" s="156"/>
      <c r="E204" s="156"/>
      <c r="F204" s="156"/>
      <c r="G204" s="156"/>
      <c r="H204" s="156"/>
      <c r="I204" s="156"/>
      <c r="J204" s="156"/>
      <c r="K204" s="131">
        <v>496.91821947521396</v>
      </c>
      <c r="Q204" s="111"/>
    </row>
    <row r="205" spans="1:17" ht="15">
      <c r="A205" s="142" t="s">
        <v>245</v>
      </c>
      <c r="B205" s="131"/>
      <c r="C205" s="156"/>
      <c r="D205" s="156"/>
      <c r="E205" s="156"/>
      <c r="F205" s="156"/>
      <c r="G205" s="156"/>
      <c r="H205" s="156"/>
      <c r="I205" s="156"/>
      <c r="J205" s="156"/>
      <c r="K205" s="131"/>
      <c r="Q205" s="111"/>
    </row>
    <row r="206" spans="1:17" ht="15">
      <c r="A206" s="142" t="s">
        <v>246</v>
      </c>
      <c r="B206" s="131"/>
      <c r="C206" s="156"/>
      <c r="D206" s="156"/>
      <c r="E206" s="156"/>
      <c r="F206" s="156"/>
      <c r="G206" s="156"/>
      <c r="H206" s="156"/>
      <c r="I206" s="156"/>
      <c r="J206" s="156"/>
      <c r="K206" s="131">
        <v>-1667.3769621482606</v>
      </c>
      <c r="Q206" s="111"/>
    </row>
    <row r="207" spans="1:17" ht="15">
      <c r="A207" s="142" t="s">
        <v>247</v>
      </c>
      <c r="B207" s="131"/>
      <c r="C207" s="156"/>
      <c r="D207" s="156"/>
      <c r="E207" s="156"/>
      <c r="F207" s="156"/>
      <c r="G207" s="156"/>
      <c r="H207" s="156"/>
      <c r="I207" s="156"/>
      <c r="J207" s="156"/>
      <c r="K207" s="131">
        <v>-796.97317125585778</v>
      </c>
    </row>
    <row r="208" spans="1:17" ht="15">
      <c r="A208" s="142" t="s">
        <v>248</v>
      </c>
      <c r="B208" s="131"/>
      <c r="C208" s="156"/>
      <c r="D208" s="156"/>
      <c r="E208" s="156"/>
      <c r="F208" s="156"/>
      <c r="G208" s="156"/>
      <c r="H208" s="156"/>
      <c r="I208" s="156"/>
      <c r="J208" s="156"/>
      <c r="K208" s="131">
        <v>-2348.0360527856596</v>
      </c>
    </row>
    <row r="209" spans="1:22" ht="15">
      <c r="A209" s="142" t="s">
        <v>249</v>
      </c>
      <c r="B209" s="131"/>
      <c r="C209" s="156"/>
      <c r="D209" s="156"/>
      <c r="E209" s="156"/>
      <c r="F209" s="156"/>
      <c r="G209" s="156"/>
      <c r="H209" s="156"/>
      <c r="I209" s="156"/>
      <c r="J209" s="156"/>
      <c r="K209" s="131">
        <v>-234.66671339331401</v>
      </c>
    </row>
    <row r="210" spans="1:22" ht="15">
      <c r="A210" s="148" t="s">
        <v>250</v>
      </c>
      <c r="B210" s="136"/>
      <c r="C210" s="156"/>
      <c r="D210" s="156"/>
      <c r="E210" s="156"/>
      <c r="F210" s="156"/>
      <c r="G210" s="156"/>
      <c r="H210" s="156"/>
      <c r="I210" s="156"/>
      <c r="J210" s="156"/>
      <c r="K210" s="136">
        <v>-2547.669673773004</v>
      </c>
    </row>
    <row r="211" spans="1:22" ht="15">
      <c r="A211" s="154" t="s">
        <v>5</v>
      </c>
      <c r="B211" s="150"/>
      <c r="C211" s="156"/>
      <c r="D211" s="156"/>
      <c r="E211" s="156"/>
      <c r="F211" s="156"/>
      <c r="G211" s="156"/>
      <c r="H211" s="156"/>
      <c r="I211" s="156"/>
      <c r="J211" s="156"/>
      <c r="K211" s="150">
        <v>-0.15059524946976877</v>
      </c>
      <c r="T211" s="113"/>
    </row>
    <row r="212" spans="1:22" ht="15">
      <c r="A212" s="155"/>
      <c r="B212" s="140"/>
      <c r="C212" s="156"/>
      <c r="D212" s="156"/>
      <c r="E212" s="156"/>
      <c r="F212" s="156"/>
      <c r="G212" s="156"/>
      <c r="H212" s="156"/>
      <c r="I212" s="156"/>
      <c r="J212" s="156"/>
      <c r="K212" s="140"/>
      <c r="T212" s="113"/>
      <c r="U212" s="113"/>
      <c r="V212" s="113"/>
    </row>
    <row r="213" spans="1:22" ht="15">
      <c r="A213" s="142" t="s">
        <v>251</v>
      </c>
      <c r="B213" s="131"/>
      <c r="C213" s="156"/>
      <c r="D213" s="156"/>
      <c r="E213" s="156"/>
      <c r="F213" s="156"/>
      <c r="G213" s="156"/>
      <c r="H213" s="156"/>
      <c r="I213" s="156"/>
      <c r="J213" s="156"/>
      <c r="K213" s="131">
        <v>1141.4952496484957</v>
      </c>
      <c r="T213" s="113"/>
      <c r="U213" s="110"/>
      <c r="V213" s="110"/>
    </row>
    <row r="214" spans="1:22" ht="15">
      <c r="A214" s="142" t="s">
        <v>252</v>
      </c>
      <c r="B214" s="131"/>
      <c r="C214" s="156"/>
      <c r="D214" s="156"/>
      <c r="E214" s="156"/>
      <c r="F214" s="156"/>
      <c r="G214" s="156"/>
      <c r="H214" s="156"/>
      <c r="I214" s="156"/>
      <c r="J214" s="156"/>
      <c r="K214" s="131">
        <v>-690.19621586268818</v>
      </c>
      <c r="T214" s="113"/>
      <c r="U214" s="110"/>
      <c r="V214" s="110"/>
    </row>
    <row r="215" spans="1:22" ht="15">
      <c r="A215" s="148" t="s">
        <v>253</v>
      </c>
      <c r="B215" s="136"/>
      <c r="C215" s="156"/>
      <c r="D215" s="156"/>
      <c r="E215" s="156"/>
      <c r="F215" s="156"/>
      <c r="G215" s="156"/>
      <c r="H215" s="156"/>
      <c r="I215" s="156"/>
      <c r="J215" s="156"/>
      <c r="K215" s="136">
        <v>-2096.3706399871962</v>
      </c>
      <c r="T215" s="113"/>
      <c r="U215" s="110"/>
      <c r="V215" s="110"/>
    </row>
    <row r="216" spans="1:22" ht="15">
      <c r="A216" s="154" t="s">
        <v>254</v>
      </c>
      <c r="B216" s="150"/>
      <c r="C216" s="156"/>
      <c r="D216" s="156"/>
      <c r="E216" s="156"/>
      <c r="F216" s="156"/>
      <c r="G216" s="156"/>
      <c r="H216" s="156"/>
      <c r="I216" s="156"/>
      <c r="J216" s="156"/>
      <c r="K216" s="150">
        <v>-0.12391852160426495</v>
      </c>
      <c r="T216" s="113"/>
      <c r="U216" s="110"/>
      <c r="V216" s="110"/>
    </row>
    <row r="217" spans="1:22" ht="15">
      <c r="A217" s="130" t="s">
        <v>206</v>
      </c>
      <c r="B217" s="131"/>
      <c r="K217" s="131">
        <v>0</v>
      </c>
      <c r="T217" s="113" t="s">
        <v>207</v>
      </c>
      <c r="U217" s="110">
        <f>U213-U214+U215+U216</f>
        <v>0</v>
      </c>
      <c r="V217" s="110">
        <f>V213-V214+V215+V216</f>
        <v>0</v>
      </c>
    </row>
    <row r="218" spans="1:22" ht="15">
      <c r="A218" s="130" t="s">
        <v>208</v>
      </c>
      <c r="B218" s="131"/>
      <c r="K218" s="131">
        <v>0</v>
      </c>
    </row>
    <row r="219" spans="1:22" ht="15">
      <c r="A219" s="132" t="s">
        <v>209</v>
      </c>
      <c r="B219" s="131"/>
      <c r="K219" s="131">
        <f>SUM(K220:K221,K223)-K222</f>
        <v>2775.6015012699886</v>
      </c>
      <c r="T219" s="113" t="s">
        <v>210</v>
      </c>
      <c r="U219" s="111">
        <f>(C53+C65+J53)-C9</f>
        <v>176126</v>
      </c>
      <c r="V219" s="111">
        <f>(L53+L65)-L9</f>
        <v>171271</v>
      </c>
    </row>
    <row r="220" spans="1:22" ht="15">
      <c r="A220" s="133" t="s">
        <v>211</v>
      </c>
      <c r="B220" s="129"/>
      <c r="K220" s="129">
        <v>2665.8305620537099</v>
      </c>
    </row>
    <row r="221" spans="1:22" ht="15">
      <c r="A221" s="133" t="s">
        <v>212</v>
      </c>
      <c r="B221" s="129"/>
      <c r="K221" s="129">
        <v>185.44597201318413</v>
      </c>
      <c r="T221" s="113" t="s">
        <v>213</v>
      </c>
      <c r="U221" s="134" t="e">
        <f>U219/U217</f>
        <v>#DIV/0!</v>
      </c>
      <c r="V221" s="134" t="e">
        <f>V219/V217</f>
        <v>#DIV/0!</v>
      </c>
    </row>
    <row r="222" spans="1:22" ht="15">
      <c r="A222" s="130" t="s">
        <v>214</v>
      </c>
      <c r="B222" s="129"/>
      <c r="K222" s="129">
        <v>75.6750327969051</v>
      </c>
      <c r="T222" s="113" t="s">
        <v>213</v>
      </c>
      <c r="U222" s="134">
        <v>3.5</v>
      </c>
      <c r="V222" s="134">
        <v>3.5</v>
      </c>
    </row>
    <row r="223" spans="1:22" ht="15">
      <c r="A223" s="130" t="s">
        <v>215</v>
      </c>
      <c r="B223" s="131"/>
      <c r="K223" s="131">
        <v>0</v>
      </c>
      <c r="T223" s="113" t="s">
        <v>216</v>
      </c>
      <c r="U223" s="134" t="e">
        <f>U222-U221</f>
        <v>#DIV/0!</v>
      </c>
      <c r="V223" s="134" t="e">
        <f>V222-V221</f>
        <v>#DIV/0!</v>
      </c>
    </row>
    <row r="224" spans="1:22" ht="15">
      <c r="A224" s="135" t="s">
        <v>217</v>
      </c>
      <c r="B224" s="136"/>
      <c r="K224" s="136">
        <f>K211-K219</f>
        <v>-2775.7520965194585</v>
      </c>
      <c r="T224" s="113" t="s">
        <v>218</v>
      </c>
      <c r="U224" s="111">
        <f>U219/U222-U217</f>
        <v>50321.714285714283</v>
      </c>
      <c r="V224" s="111">
        <f>V219/V222-V217</f>
        <v>48934.571428571428</v>
      </c>
    </row>
    <row r="225" spans="1:11" ht="15">
      <c r="A225" s="137" t="s">
        <v>219</v>
      </c>
      <c r="B225" s="129"/>
      <c r="K225" s="129">
        <f>SUM(K226:K228)</f>
        <v>6660.0517582020475</v>
      </c>
    </row>
    <row r="226" spans="1:11" ht="15">
      <c r="A226" s="128" t="s">
        <v>220</v>
      </c>
      <c r="B226" s="131"/>
      <c r="K226" s="131">
        <v>5486.9068051513486</v>
      </c>
    </row>
    <row r="227" spans="1:11" ht="15">
      <c r="A227" s="128" t="s">
        <v>201</v>
      </c>
      <c r="B227" s="131"/>
      <c r="K227" s="131">
        <v>1173.1449530506991</v>
      </c>
    </row>
    <row r="228" spans="1:11" ht="15">
      <c r="A228" s="128" t="s">
        <v>221</v>
      </c>
      <c r="B228" s="131"/>
      <c r="K228" s="131">
        <v>0</v>
      </c>
    </row>
    <row r="229" spans="1:11" ht="15">
      <c r="A229" s="135" t="s">
        <v>2</v>
      </c>
      <c r="B229" s="136"/>
      <c r="K229" s="136">
        <f>K224-K225</f>
        <v>-9435.8038547215056</v>
      </c>
    </row>
    <row r="230" spans="1:11" ht="15">
      <c r="A230" s="138" t="s">
        <v>4</v>
      </c>
      <c r="B230" s="139"/>
      <c r="K230" s="139">
        <v>0.59568235249464341</v>
      </c>
    </row>
    <row r="231" spans="1:11" ht="15">
      <c r="A231" s="138"/>
      <c r="B231" s="140"/>
      <c r="K231" s="140"/>
    </row>
    <row r="232" spans="1:11" ht="15">
      <c r="A232" s="141" t="s">
        <v>51</v>
      </c>
      <c r="B232" s="129"/>
      <c r="K232" s="129">
        <f>K233+K234</f>
        <v>10552.775973267757</v>
      </c>
    </row>
    <row r="233" spans="1:11" ht="15">
      <c r="A233" s="142" t="s">
        <v>222</v>
      </c>
      <c r="B233" s="143"/>
      <c r="K233" s="143">
        <v>5708.2018461197977</v>
      </c>
    </row>
    <row r="234" spans="1:11" ht="15">
      <c r="A234" s="142" t="s">
        <v>223</v>
      </c>
      <c r="B234" s="129"/>
      <c r="K234" s="129">
        <v>4844.5741271479592</v>
      </c>
    </row>
    <row r="235" spans="1:11" ht="15">
      <c r="A235" s="141" t="s">
        <v>224</v>
      </c>
      <c r="B235" s="129"/>
      <c r="K235" s="129">
        <f>SUM(K236:K238)</f>
        <v>2530.7577717723161</v>
      </c>
    </row>
    <row r="236" spans="1:11" ht="15">
      <c r="A236" s="127" t="s">
        <v>224</v>
      </c>
      <c r="B236" s="129"/>
      <c r="K236" s="129">
        <v>1973.1285357426675</v>
      </c>
    </row>
    <row r="237" spans="1:11" ht="15">
      <c r="A237" s="127" t="s">
        <v>3</v>
      </c>
      <c r="B237" s="144"/>
      <c r="K237" s="144">
        <v>201.02146102964883</v>
      </c>
    </row>
    <row r="238" spans="1:11" ht="15">
      <c r="A238" s="127" t="s">
        <v>225</v>
      </c>
      <c r="B238" s="145"/>
      <c r="K238" s="145">
        <v>356.607775</v>
      </c>
    </row>
    <row r="239" spans="1:11" ht="15">
      <c r="A239" s="141" t="s">
        <v>226</v>
      </c>
      <c r="B239" s="129"/>
      <c r="K239" s="129">
        <f>K240-K241+K242-K243</f>
        <v>-218.33333333333334</v>
      </c>
    </row>
    <row r="240" spans="1:11" ht="15">
      <c r="A240" s="127" t="s">
        <v>227</v>
      </c>
      <c r="B240" s="145"/>
      <c r="K240" s="145">
        <v>40</v>
      </c>
    </row>
    <row r="241" spans="1:11" ht="15">
      <c r="A241" s="127" t="s">
        <v>228</v>
      </c>
      <c r="B241" s="144"/>
      <c r="K241" s="144">
        <v>250</v>
      </c>
    </row>
    <row r="242" spans="1:11" ht="15">
      <c r="A242" s="142" t="s">
        <v>229</v>
      </c>
      <c r="B242" s="131"/>
      <c r="K242" s="131">
        <v>-8.3333333333333339</v>
      </c>
    </row>
    <row r="243" spans="1:11" ht="15">
      <c r="A243" s="127" t="s">
        <v>230</v>
      </c>
      <c r="B243" s="146"/>
      <c r="K243" s="146">
        <v>0</v>
      </c>
    </row>
    <row r="244" spans="1:11" ht="15">
      <c r="A244" s="141" t="s">
        <v>231</v>
      </c>
      <c r="B244" s="129"/>
      <c r="K244" s="129">
        <f>SUM(K245:K247)</f>
        <v>-1667.3769621482606</v>
      </c>
    </row>
    <row r="245" spans="1:11" ht="15">
      <c r="A245" s="127" t="s">
        <v>232</v>
      </c>
      <c r="B245" s="144"/>
      <c r="K245" s="144">
        <v>140.84719683872652</v>
      </c>
    </row>
    <row r="246" spans="1:11" ht="15">
      <c r="A246" s="127" t="s">
        <v>233</v>
      </c>
      <c r="B246" s="144"/>
      <c r="K246" s="144">
        <v>-666.72890933849135</v>
      </c>
    </row>
    <row r="247" spans="1:11" ht="15">
      <c r="A247" s="142" t="s">
        <v>234</v>
      </c>
      <c r="B247" s="144"/>
      <c r="K247" s="144">
        <v>-1141.4952496484957</v>
      </c>
    </row>
    <row r="248" spans="1:11" ht="15">
      <c r="A248" s="141" t="s">
        <v>235</v>
      </c>
      <c r="B248" s="131"/>
      <c r="K248" s="131">
        <v>-796.97317125585778</v>
      </c>
    </row>
    <row r="249" spans="1:11" ht="15">
      <c r="A249" s="141" t="s">
        <v>236</v>
      </c>
      <c r="B249" s="131"/>
      <c r="K249" s="131">
        <v>-2348.0360527856596</v>
      </c>
    </row>
    <row r="250" spans="1:11" ht="15">
      <c r="A250" s="141" t="s">
        <v>237</v>
      </c>
      <c r="B250" s="147"/>
      <c r="K250" s="147">
        <v>692.39995327335271</v>
      </c>
    </row>
    <row r="251" spans="1:11" ht="15">
      <c r="A251" s="148" t="s">
        <v>238</v>
      </c>
      <c r="B251" s="136"/>
      <c r="K251" s="136">
        <f>K229-K232-K235+K239-K244-K248-K249-K250</f>
        <v>-18617.684700178488</v>
      </c>
    </row>
    <row r="252" spans="1:11" ht="15">
      <c r="A252" s="149" t="s">
        <v>7</v>
      </c>
      <c r="B252" s="150"/>
      <c r="K252" s="150">
        <f>K251/K224</f>
        <v>6.7072577279229568</v>
      </c>
    </row>
    <row r="253" spans="1:11" ht="15.75" thickBot="1">
      <c r="A253" s="149"/>
      <c r="B253" s="140"/>
      <c r="K253" s="140"/>
    </row>
    <row r="254" spans="1:11" ht="15">
      <c r="A254" s="151" t="s">
        <v>239</v>
      </c>
      <c r="B254" s="152"/>
      <c r="K254" s="152"/>
    </row>
    <row r="255" spans="1:11" ht="15">
      <c r="A255" s="142" t="s">
        <v>240</v>
      </c>
      <c r="B255" s="131"/>
      <c r="K255" s="131">
        <v>927.06666666666672</v>
      </c>
    </row>
    <row r="256" spans="1:11" ht="15">
      <c r="A256" s="142" t="s">
        <v>241</v>
      </c>
      <c r="B256" s="131"/>
      <c r="K256" s="131">
        <v>0</v>
      </c>
    </row>
    <row r="257" spans="1:11" ht="15">
      <c r="A257" s="142" t="s">
        <v>242</v>
      </c>
      <c r="B257" s="153"/>
      <c r="K257" s="153">
        <v>0</v>
      </c>
    </row>
    <row r="258" spans="1:11" ht="15">
      <c r="A258" s="148" t="s">
        <v>243</v>
      </c>
      <c r="B258" s="136"/>
      <c r="K258" s="136">
        <f>K251+SUM(K255:K257)</f>
        <v>-17690.618033511822</v>
      </c>
    </row>
    <row r="259" spans="1:11" ht="15">
      <c r="A259" s="154" t="s">
        <v>6</v>
      </c>
      <c r="B259" s="150"/>
      <c r="K259" s="150">
        <f>K258/K224</f>
        <v>6.3732701690811124</v>
      </c>
    </row>
    <row r="260" spans="1:11" ht="15">
      <c r="A260" s="155"/>
      <c r="B260" s="140"/>
      <c r="K260" s="140"/>
    </row>
    <row r="261" spans="1:11" ht="15">
      <c r="A261" s="142" t="s">
        <v>244</v>
      </c>
      <c r="B261" s="131"/>
      <c r="K261" s="131">
        <v>496.91821947521396</v>
      </c>
    </row>
    <row r="262" spans="1:11" ht="15">
      <c r="A262" s="142" t="s">
        <v>245</v>
      </c>
      <c r="B262" s="131"/>
      <c r="K262" s="131"/>
    </row>
    <row r="263" spans="1:11" ht="15">
      <c r="A263" s="142" t="s">
        <v>246</v>
      </c>
      <c r="B263" s="131"/>
      <c r="K263" s="131">
        <f>K244</f>
        <v>-1667.3769621482606</v>
      </c>
    </row>
    <row r="264" spans="1:11" ht="15">
      <c r="A264" s="142" t="s">
        <v>247</v>
      </c>
      <c r="B264" s="131"/>
      <c r="K264" s="131">
        <f>K248</f>
        <v>-796.97317125585778</v>
      </c>
    </row>
    <row r="265" spans="1:11" ht="15">
      <c r="A265" s="142" t="s">
        <v>248</v>
      </c>
      <c r="B265" s="131"/>
      <c r="K265" s="131">
        <f>K249</f>
        <v>-2348.0360527856596</v>
      </c>
    </row>
    <row r="266" spans="1:11" ht="15">
      <c r="A266" s="142" t="s">
        <v>249</v>
      </c>
      <c r="B266" s="131"/>
      <c r="K266" s="131">
        <f>K250-K255</f>
        <v>-234.66671339331401</v>
      </c>
    </row>
    <row r="267" spans="1:11" ht="15">
      <c r="A267" s="148" t="s">
        <v>250</v>
      </c>
      <c r="B267" s="136"/>
      <c r="K267" s="136">
        <f>K258+SUM(K261:K266)</f>
        <v>-22240.752713619702</v>
      </c>
    </row>
    <row r="268" spans="1:11" ht="15">
      <c r="A268" s="154" t="s">
        <v>5</v>
      </c>
      <c r="B268" s="150"/>
      <c r="K268" s="150">
        <f>K267/K224</f>
        <v>8.0125140647493662</v>
      </c>
    </row>
    <row r="269" spans="1:11" ht="15">
      <c r="A269" s="155"/>
      <c r="B269" s="140"/>
      <c r="K269" s="140"/>
    </row>
    <row r="270" spans="1:11" ht="15">
      <c r="A270" s="142" t="s">
        <v>251</v>
      </c>
      <c r="B270" s="131"/>
      <c r="K270" s="131">
        <f>-K247</f>
        <v>1141.4952496484957</v>
      </c>
    </row>
    <row r="271" spans="1:11" ht="15">
      <c r="A271" s="142" t="s">
        <v>252</v>
      </c>
      <c r="B271" s="131"/>
      <c r="K271" s="131">
        <f>K216+K218-K222+K247</f>
        <v>-1217.2942009670051</v>
      </c>
    </row>
    <row r="272" spans="1:11" ht="15">
      <c r="A272" s="148" t="s">
        <v>253</v>
      </c>
      <c r="B272" s="136"/>
      <c r="K272" s="136">
        <f>K267+SUM(K270:K271)</f>
        <v>-22316.551664938212</v>
      </c>
    </row>
    <row r="273" spans="1:11" ht="15">
      <c r="A273" s="154" t="s">
        <v>254</v>
      </c>
      <c r="B273" s="150"/>
      <c r="K273" s="150">
        <f>K272/K224</f>
        <v>8.0398216011152961</v>
      </c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pageSetUpPr fitToPage="1"/>
  </sheetPr>
  <dimension ref="A1:AL57"/>
  <sheetViews>
    <sheetView showGridLines="0" tabSelected="1" zoomScale="90" zoomScaleNormal="90" workbookViewId="0">
      <pane xSplit="2" ySplit="2" topLeftCell="P3" activePane="bottomRight" state="frozen"/>
      <selection activeCell="AE9" sqref="AE9"/>
      <selection pane="topRight" activeCell="AE9" sqref="AE9"/>
      <selection pane="bottomLeft" activeCell="AE9" sqref="AE9"/>
      <selection pane="bottomRight" activeCell="A3" sqref="A3:A53"/>
    </sheetView>
  </sheetViews>
  <sheetFormatPr defaultColWidth="9.140625" defaultRowHeight="15" outlineLevelCol="1"/>
  <cols>
    <col min="1" max="1" width="41.5703125" style="4" bestFit="1" customWidth="1"/>
    <col min="2" max="2" width="14.85546875" style="4" customWidth="1"/>
    <col min="3" max="3" width="11.42578125" style="4" hidden="1" customWidth="1" outlineLevel="1"/>
    <col min="4" max="4" width="10.85546875" style="4" hidden="1" customWidth="1" outlineLevel="1"/>
    <col min="5" max="5" width="11.85546875" style="4" hidden="1" customWidth="1" outlineLevel="1"/>
    <col min="6" max="6" width="11" style="4" hidden="1" customWidth="1" outlineLevel="1"/>
    <col min="7" max="7" width="11.140625" style="4" hidden="1" customWidth="1" outlineLevel="1"/>
    <col min="8" max="8" width="11.42578125" style="4" hidden="1" customWidth="1" outlineLevel="1"/>
    <col min="9" max="10" width="11.140625" style="4" hidden="1" customWidth="1" outlineLevel="1"/>
    <col min="11" max="11" width="11.5703125" style="4" hidden="1" customWidth="1" outlineLevel="1"/>
    <col min="12" max="14" width="11.140625" style="4" hidden="1" customWidth="1" outlineLevel="1"/>
    <col min="15" max="15" width="9.5703125" style="31" customWidth="1" collapsed="1"/>
    <col min="16" max="16" width="10.140625" style="31" customWidth="1"/>
    <col min="17" max="17" width="10.85546875" style="66" customWidth="1"/>
    <col min="18" max="18" width="13" style="66" customWidth="1"/>
    <col min="19" max="19" width="8.85546875" customWidth="1"/>
    <col min="20" max="20" width="9.140625" customWidth="1"/>
    <col min="21" max="21" width="11" style="66" customWidth="1"/>
    <col min="22" max="22" width="10.5703125" style="67" customWidth="1"/>
    <col min="23" max="23" width="8.85546875" customWidth="1"/>
    <col min="24" max="24" width="9.140625" customWidth="1"/>
    <col min="25" max="25" width="11" style="66" customWidth="1"/>
    <col min="26" max="26" width="10.5703125" style="67" customWidth="1"/>
    <col min="27" max="27" width="8.85546875" customWidth="1"/>
    <col min="28" max="28" width="9.140625" customWidth="1"/>
    <col min="29" max="29" width="11" style="66" customWidth="1"/>
    <col min="30" max="30" width="10.5703125" style="67" customWidth="1"/>
    <col min="31" max="31" width="9.5703125" style="67" customWidth="1"/>
    <col min="32" max="32" width="11" style="67" bestFit="1" customWidth="1"/>
    <col min="33" max="33" width="12.85546875" style="66" bestFit="1" customWidth="1"/>
    <col min="34" max="34" width="10.5703125" style="67" customWidth="1"/>
    <col min="36" max="36" width="14.85546875" bestFit="1" customWidth="1"/>
    <col min="38" max="38" width="11.42578125" bestFit="1" customWidth="1"/>
  </cols>
  <sheetData>
    <row r="1" spans="1:38" ht="92.25" customHeight="1" thickBot="1"/>
    <row r="2" spans="1:38" ht="15.75" customHeight="1" thickBot="1">
      <c r="A2" s="327" t="s">
        <v>318</v>
      </c>
      <c r="B2" s="328"/>
      <c r="C2" s="360">
        <v>2011</v>
      </c>
      <c r="D2" s="360">
        <v>2012</v>
      </c>
      <c r="E2" s="360">
        <v>2013</v>
      </c>
      <c r="F2" s="360">
        <v>2014</v>
      </c>
      <c r="G2" s="360">
        <v>2015</v>
      </c>
      <c r="H2" s="360">
        <v>2016</v>
      </c>
      <c r="I2" s="360">
        <v>2017</v>
      </c>
      <c r="J2" s="360">
        <v>2018</v>
      </c>
      <c r="K2" s="360">
        <v>2019</v>
      </c>
      <c r="L2" s="360">
        <v>2020</v>
      </c>
      <c r="M2" s="360">
        <v>2021</v>
      </c>
      <c r="N2" s="360">
        <v>2022</v>
      </c>
      <c r="O2" s="1" t="s">
        <v>423</v>
      </c>
      <c r="P2" s="1" t="s">
        <v>427</v>
      </c>
      <c r="Q2" s="87" t="s">
        <v>0</v>
      </c>
      <c r="R2" s="88" t="s">
        <v>1</v>
      </c>
      <c r="S2" s="1" t="s">
        <v>424</v>
      </c>
      <c r="T2" s="1" t="s">
        <v>428</v>
      </c>
      <c r="U2" s="87" t="s">
        <v>0</v>
      </c>
      <c r="V2" s="88" t="s">
        <v>1</v>
      </c>
      <c r="W2" s="1" t="s">
        <v>425</v>
      </c>
      <c r="X2" s="1" t="s">
        <v>429</v>
      </c>
      <c r="Y2" s="87" t="s">
        <v>0</v>
      </c>
      <c r="Z2" s="88" t="s">
        <v>1</v>
      </c>
      <c r="AA2" s="1" t="s">
        <v>426</v>
      </c>
      <c r="AB2" s="1" t="s">
        <v>430</v>
      </c>
      <c r="AC2" s="87" t="s">
        <v>0</v>
      </c>
      <c r="AD2" s="88" t="s">
        <v>1</v>
      </c>
      <c r="AE2" s="1">
        <v>2023</v>
      </c>
      <c r="AF2" s="5">
        <v>2024</v>
      </c>
      <c r="AG2" s="87" t="s">
        <v>0</v>
      </c>
      <c r="AH2" s="88" t="s">
        <v>1</v>
      </c>
    </row>
    <row r="3" spans="1:38" ht="15.75" customHeight="1">
      <c r="A3" s="329" t="s">
        <v>467</v>
      </c>
      <c r="B3" s="313"/>
      <c r="C3" s="361">
        <v>319857</v>
      </c>
      <c r="D3" s="362">
        <v>377133</v>
      </c>
      <c r="E3" s="362">
        <v>522864.00000000006</v>
      </c>
      <c r="F3" s="363">
        <v>501556</v>
      </c>
      <c r="G3" s="363">
        <v>491434</v>
      </c>
      <c r="H3" s="364">
        <v>443621.99999999994</v>
      </c>
      <c r="I3" s="363">
        <v>412361</v>
      </c>
      <c r="J3" s="363">
        <v>363499.73664000002</v>
      </c>
      <c r="K3" s="363">
        <v>378366.44312000007</v>
      </c>
      <c r="L3" s="363">
        <v>285105.17800999974</v>
      </c>
      <c r="M3" s="384">
        <v>350920.30887999985</v>
      </c>
      <c r="N3" s="384">
        <v>400492.21608000016</v>
      </c>
      <c r="O3" s="22">
        <v>75275.733330000003</v>
      </c>
      <c r="P3" s="23">
        <v>79292.526190000164</v>
      </c>
      <c r="Q3" s="56">
        <f>IFERROR(P3/O3-1,0)</f>
        <v>5.3361059166185942E-2</v>
      </c>
      <c r="R3" s="57">
        <f>P3-O3</f>
        <v>4016.7928600001615</v>
      </c>
      <c r="S3" s="23">
        <v>100387</v>
      </c>
      <c r="T3" s="23">
        <v>115372.0721899999</v>
      </c>
      <c r="U3" s="56">
        <f>IFERROR(T3/S3-1,0)</f>
        <v>0.14927303525356783</v>
      </c>
      <c r="V3" s="57">
        <f>T3-S3</f>
        <v>14985.072189999904</v>
      </c>
      <c r="W3" s="23">
        <v>91919.815169999973</v>
      </c>
      <c r="X3" s="23">
        <v>109698.66213000029</v>
      </c>
      <c r="Y3" s="56">
        <f>X3/W3-1</f>
        <v>0.1934169137211541</v>
      </c>
      <c r="Z3" s="93">
        <f>X3-W3</f>
        <v>17778.846960000315</v>
      </c>
      <c r="AA3" s="23">
        <v>128248.3504400001</v>
      </c>
      <c r="AB3" s="23">
        <v>159942.73759999988</v>
      </c>
      <c r="AC3" s="56">
        <f>AB3/AA3-1</f>
        <v>0.24713290308422109</v>
      </c>
      <c r="AD3" s="93">
        <f>AB3-AA3</f>
        <v>31694.38715999978</v>
      </c>
      <c r="AE3" s="23">
        <f t="shared" ref="AE3:AF6" si="0">O3+S3+W3+AA3</f>
        <v>395830.8989400001</v>
      </c>
      <c r="AF3" s="23">
        <f t="shared" si="0"/>
        <v>464305.99811000022</v>
      </c>
      <c r="AG3" s="56">
        <f>IFERROR(AF3/AE3-1,0)</f>
        <v>0.17299078812030677</v>
      </c>
      <c r="AH3" s="93">
        <f>AF3-AE3</f>
        <v>68475.099170000118</v>
      </c>
    </row>
    <row r="4" spans="1:38" ht="15.75" customHeight="1">
      <c r="A4" s="331" t="s">
        <v>468</v>
      </c>
      <c r="B4" s="331"/>
      <c r="C4" s="365">
        <v>-11633</v>
      </c>
      <c r="D4" s="365">
        <v>-9958.2513770875557</v>
      </c>
      <c r="E4" s="365">
        <v>-14437.999999999904</v>
      </c>
      <c r="F4" s="23">
        <v>-17795</v>
      </c>
      <c r="G4" s="23">
        <v>-22046</v>
      </c>
      <c r="H4" s="365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-3113</v>
      </c>
      <c r="P4" s="23">
        <v>-2770.1835099999603</v>
      </c>
      <c r="Q4" s="58">
        <f t="shared" ref="Q4:Q6" si="1">IFERROR(P4/O4-1,0)</f>
        <v>-0.11012415354964333</v>
      </c>
      <c r="R4" s="59">
        <f>P4-O4</f>
        <v>342.81649000003972</v>
      </c>
      <c r="S4" s="23">
        <v>-4009.3755599999995</v>
      </c>
      <c r="T4" s="23">
        <v>-3650.3195100000003</v>
      </c>
      <c r="U4" s="58">
        <f t="shared" ref="U4:U6" si="2">IFERROR(T4/S4-1,0)</f>
        <v>-8.9554107522917925E-2</v>
      </c>
      <c r="V4" s="59">
        <f>T4-S4</f>
        <v>359.05604999999923</v>
      </c>
      <c r="W4" s="23">
        <v>-3569.9603299999999</v>
      </c>
      <c r="X4" s="23">
        <v>-3428.5268199999991</v>
      </c>
      <c r="Y4" s="58">
        <f>X4/W4-1</f>
        <v>-3.9617669925200771E-2</v>
      </c>
      <c r="Z4" s="92">
        <f>X4-W4</f>
        <v>141.43351000000075</v>
      </c>
      <c r="AA4" s="23">
        <v>-4870.2754299999979</v>
      </c>
      <c r="AB4" s="23">
        <v>-5752.9671100000005</v>
      </c>
      <c r="AC4" s="58">
        <f>AB4/AA4-1</f>
        <v>0.18124060798754527</v>
      </c>
      <c r="AD4" s="92">
        <f>AB4-AA4</f>
        <v>-882.69168000000263</v>
      </c>
      <c r="AE4" s="23">
        <f t="shared" si="0"/>
        <v>-15562.611319999996</v>
      </c>
      <c r="AF4" s="23">
        <f t="shared" si="0"/>
        <v>-15601.996949999961</v>
      </c>
      <c r="AG4" s="58">
        <f t="shared" ref="AG4:AG6" si="3">IFERROR(AF4/AE4-1,0)</f>
        <v>2.5307854311922284E-3</v>
      </c>
      <c r="AH4" s="92">
        <f>AF4-AE4</f>
        <v>-39.385629999964294</v>
      </c>
    </row>
    <row r="5" spans="1:38" ht="15.75" customHeight="1">
      <c r="A5" s="330" t="s">
        <v>469</v>
      </c>
      <c r="B5" s="331"/>
      <c r="C5" s="364">
        <v>-47935</v>
      </c>
      <c r="D5" s="364">
        <v>-55935.611050000007</v>
      </c>
      <c r="E5" s="364">
        <v>-76839</v>
      </c>
      <c r="F5" s="363">
        <v>-72963</v>
      </c>
      <c r="G5" s="363">
        <v>-75586</v>
      </c>
      <c r="H5" s="364">
        <v>-65951.316800000001</v>
      </c>
      <c r="I5" s="363">
        <v>-61605</v>
      </c>
      <c r="J5" s="363">
        <v>-51514.476329999998</v>
      </c>
      <c r="K5" s="363">
        <v>-55731.880619999996</v>
      </c>
      <c r="L5" s="363">
        <v>-36955.979920000027</v>
      </c>
      <c r="M5" s="363">
        <v>-31144.227900000031</v>
      </c>
      <c r="N5" s="363">
        <v>-35852.520007156549</v>
      </c>
      <c r="O5" s="23">
        <v>-8909.9371858164122</v>
      </c>
      <c r="P5" s="23">
        <v>-8022.9815700000199</v>
      </c>
      <c r="Q5" s="58">
        <f t="shared" si="1"/>
        <v>-9.954678661801597E-2</v>
      </c>
      <c r="R5" s="92">
        <f>P5-O5</f>
        <v>886.95561581639231</v>
      </c>
      <c r="S5" s="23">
        <v>-9373</v>
      </c>
      <c r="T5" s="23">
        <v>-12523.08535000001</v>
      </c>
      <c r="U5" s="58">
        <f t="shared" si="2"/>
        <v>0.33608080123759843</v>
      </c>
      <c r="V5" s="92">
        <f>T5-S5</f>
        <v>-3150.0853500000103</v>
      </c>
      <c r="W5" s="23">
        <v>-8184.1958012663645</v>
      </c>
      <c r="X5" s="23">
        <v>-11916.627279999957</v>
      </c>
      <c r="Y5" s="63">
        <f>X5/W5-1</f>
        <v>0.45605354140672705</v>
      </c>
      <c r="Z5" s="92">
        <f>X5-W5</f>
        <v>-3732.4314787335925</v>
      </c>
      <c r="AA5" s="23">
        <v>-12740.825503843624</v>
      </c>
      <c r="AB5" s="23">
        <v>-17470.091279999975</v>
      </c>
      <c r="AC5" s="63">
        <f>AB5/AA5-1</f>
        <v>0.37118990246979178</v>
      </c>
      <c r="AD5" s="92">
        <f>AB5-AA5</f>
        <v>-4729.2657761563514</v>
      </c>
      <c r="AE5" s="23">
        <f t="shared" si="0"/>
        <v>-39207.958490926401</v>
      </c>
      <c r="AF5" s="23">
        <f t="shared" si="0"/>
        <v>-49932.785479999962</v>
      </c>
      <c r="AG5" s="63">
        <f t="shared" si="3"/>
        <v>0.27353699100542372</v>
      </c>
      <c r="AH5" s="92">
        <f>AF5-AE5</f>
        <v>-10724.826989073561</v>
      </c>
    </row>
    <row r="6" spans="1:38" ht="15.75" customHeight="1">
      <c r="A6" s="331" t="s">
        <v>470</v>
      </c>
      <c r="B6" s="331"/>
      <c r="C6" s="365">
        <v>1741</v>
      </c>
      <c r="D6" s="366">
        <v>1476</v>
      </c>
      <c r="E6" s="366">
        <v>2108.8207414252761</v>
      </c>
      <c r="F6" s="23">
        <v>2635</v>
      </c>
      <c r="G6" s="23">
        <v>3491</v>
      </c>
      <c r="H6" s="366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4">
        <v>266</v>
      </c>
      <c r="P6" s="23">
        <v>267.08910710588816</v>
      </c>
      <c r="Q6" s="58">
        <f t="shared" si="1"/>
        <v>4.0943876161207982E-3</v>
      </c>
      <c r="R6" s="92">
        <f>P6-O6</f>
        <v>1.0891071058881607</v>
      </c>
      <c r="S6" s="23">
        <v>350.99583284799991</v>
      </c>
      <c r="T6" s="23">
        <v>357.12938800265817</v>
      </c>
      <c r="U6" s="58">
        <f t="shared" si="2"/>
        <v>1.7474723574038675E-2</v>
      </c>
      <c r="V6" s="92">
        <f>T6-S6</f>
        <v>6.1335551546582678</v>
      </c>
      <c r="W6" s="23">
        <v>239.44627670460591</v>
      </c>
      <c r="X6" s="23">
        <v>330.39832271768512</v>
      </c>
      <c r="Y6" s="58">
        <f>X6/W6-1</f>
        <v>0.3798432252311974</v>
      </c>
      <c r="Z6" s="92">
        <f>X6-W6</f>
        <v>90.952046013079212</v>
      </c>
      <c r="AA6" s="23">
        <v>430.02648144641216</v>
      </c>
      <c r="AB6" s="23">
        <v>554.1794448103708</v>
      </c>
      <c r="AC6" s="58">
        <f>AB6/AA6-1</f>
        <v>0.2887100416382844</v>
      </c>
      <c r="AD6" s="92">
        <f>AB6-AA6</f>
        <v>124.15296336395863</v>
      </c>
      <c r="AE6" s="23">
        <f t="shared" si="0"/>
        <v>1286.468590999018</v>
      </c>
      <c r="AF6" s="23">
        <f t="shared" si="0"/>
        <v>1508.7962626366023</v>
      </c>
      <c r="AG6" s="58">
        <f t="shared" si="3"/>
        <v>0.17282013194347301</v>
      </c>
      <c r="AH6" s="92">
        <f>AF6-AE6</f>
        <v>222.32767163758422</v>
      </c>
    </row>
    <row r="7" spans="1:38" ht="15.75" customHeight="1">
      <c r="A7" s="330"/>
      <c r="B7" s="331"/>
      <c r="C7" s="367"/>
      <c r="D7" s="366"/>
      <c r="E7" s="366"/>
      <c r="F7" s="368"/>
      <c r="G7" s="368"/>
      <c r="H7" s="366"/>
      <c r="I7" s="368"/>
      <c r="J7" s="368"/>
      <c r="K7" s="26"/>
      <c r="L7" s="26"/>
      <c r="M7" s="26"/>
      <c r="N7" s="26"/>
      <c r="O7" s="24"/>
      <c r="P7" s="26"/>
      <c r="Q7" s="60"/>
      <c r="R7" s="59"/>
      <c r="S7" s="7"/>
      <c r="T7" s="23"/>
      <c r="U7" s="60"/>
      <c r="V7" s="59"/>
      <c r="W7" s="7"/>
      <c r="X7" s="23"/>
      <c r="Y7" s="60"/>
      <c r="Z7" s="59"/>
      <c r="AA7" s="7"/>
      <c r="AB7" s="23"/>
      <c r="AC7" s="60"/>
      <c r="AD7" s="59"/>
      <c r="AE7" s="24"/>
      <c r="AF7" s="24"/>
      <c r="AG7" s="60"/>
      <c r="AH7" s="59"/>
    </row>
    <row r="8" spans="1:38" ht="15.75" customHeight="1">
      <c r="A8" s="314" t="s">
        <v>471</v>
      </c>
      <c r="B8" s="315"/>
      <c r="C8" s="369">
        <f>SUM(C3:C6)</f>
        <v>262030</v>
      </c>
      <c r="D8" s="369">
        <f t="shared" ref="D8:L8" si="4">SUM(D3:D6)</f>
        <v>312715.13757291244</v>
      </c>
      <c r="E8" s="369">
        <f t="shared" si="4"/>
        <v>433695.82074142544</v>
      </c>
      <c r="F8" s="369">
        <f t="shared" si="4"/>
        <v>413433</v>
      </c>
      <c r="G8" s="369">
        <f t="shared" si="4"/>
        <v>397293</v>
      </c>
      <c r="H8" s="369">
        <f t="shared" si="4"/>
        <v>360872.97414030397</v>
      </c>
      <c r="I8" s="369">
        <f t="shared" si="4"/>
        <v>340076</v>
      </c>
      <c r="J8" s="369">
        <f t="shared" si="4"/>
        <v>305696.17570524517</v>
      </c>
      <c r="K8" s="369">
        <f t="shared" si="4"/>
        <v>316226.27587170707</v>
      </c>
      <c r="L8" s="369">
        <f t="shared" si="4"/>
        <v>244607.38250886771</v>
      </c>
      <c r="M8" s="369">
        <v>314401.67791416938</v>
      </c>
      <c r="N8" s="369">
        <v>351231.17873447796</v>
      </c>
      <c r="O8" s="8">
        <f>SUM(O3:O6)</f>
        <v>63518.796144183594</v>
      </c>
      <c r="P8" s="8">
        <f>SUM(P3:P6)</f>
        <v>68766.450217106074</v>
      </c>
      <c r="Q8" s="61">
        <f>IFERROR(P8/O8-1,0)</f>
        <v>8.2615767166157372E-2</v>
      </c>
      <c r="R8" s="62">
        <f>P8-O8</f>
        <v>5247.6540729224798</v>
      </c>
      <c r="S8" s="8">
        <v>87355.620272847998</v>
      </c>
      <c r="T8" s="8">
        <v>99555.796718002559</v>
      </c>
      <c r="U8" s="61">
        <f>IFERROR(T8/S8-1,0)</f>
        <v>0.13966103619948345</v>
      </c>
      <c r="V8" s="62">
        <f>T8-S8</f>
        <v>12200.17644515456</v>
      </c>
      <c r="W8" s="8">
        <f>SUM(W3:W6)</f>
        <v>80405.10531543821</v>
      </c>
      <c r="X8" s="8">
        <v>94683.906352718011</v>
      </c>
      <c r="Y8" s="61">
        <f>IFERROR(X8/W8-1,0)</f>
        <v>0.17758575131843268</v>
      </c>
      <c r="Z8" s="91">
        <f>X8-W8</f>
        <v>14278.801037279802</v>
      </c>
      <c r="AA8" s="8">
        <f>SUM(AA3:AA6)</f>
        <v>111067.2759876029</v>
      </c>
      <c r="AB8" s="8">
        <f>SUM(AB3:AB6)</f>
        <v>137273.85865481029</v>
      </c>
      <c r="AC8" s="61">
        <f>IFERROR(AB8/AA8-1,0)</f>
        <v>0.23595233100100987</v>
      </c>
      <c r="AD8" s="91">
        <f>AB8-AA8</f>
        <v>26206.582667207389</v>
      </c>
      <c r="AE8" s="8">
        <f>SUM(AE3:AE6)</f>
        <v>342346.79772007267</v>
      </c>
      <c r="AF8" s="8">
        <f>SUM(AF3:AF6)</f>
        <v>400280.01194263692</v>
      </c>
      <c r="AG8" s="61">
        <f>IFERROR(AF8/AE8-1,0)</f>
        <v>0.16922376551608531</v>
      </c>
      <c r="AH8" s="91">
        <f>AF8-AE8</f>
        <v>57933.214222564246</v>
      </c>
    </row>
    <row r="9" spans="1:38" ht="15.75" customHeight="1">
      <c r="A9" s="330"/>
      <c r="B9" s="331"/>
      <c r="C9" s="366"/>
      <c r="D9" s="366"/>
      <c r="E9" s="366"/>
      <c r="F9" s="368"/>
      <c r="G9" s="368"/>
      <c r="H9" s="366"/>
      <c r="I9" s="23"/>
      <c r="J9" s="23"/>
      <c r="K9" s="23"/>
      <c r="L9" s="23"/>
      <c r="M9" s="23">
        <v>-149226</v>
      </c>
      <c r="N9" s="23">
        <v>-160681.56247817609</v>
      </c>
      <c r="O9" s="24">
        <v>-29598</v>
      </c>
      <c r="P9" s="23">
        <v>-32255.511874753272</v>
      </c>
      <c r="Q9" s="58"/>
      <c r="R9" s="92"/>
      <c r="S9" s="396">
        <v>-38024</v>
      </c>
      <c r="T9" s="23">
        <v>-44816.572934528791</v>
      </c>
      <c r="U9" s="58"/>
      <c r="V9" s="92"/>
      <c r="W9" s="344">
        <v>-36765</v>
      </c>
      <c r="X9" s="23">
        <v>-42186.913980994403</v>
      </c>
      <c r="Y9" s="60"/>
      <c r="Z9" s="59"/>
      <c r="AA9" s="344">
        <v>-48579.6</v>
      </c>
      <c r="AB9" s="23">
        <v>-62170.78588132131</v>
      </c>
      <c r="AC9" s="60"/>
      <c r="AD9" s="59">
        <f>AB9-AA9</f>
        <v>-13591.185881321311</v>
      </c>
      <c r="AE9" s="23">
        <f>O9+S9+W9+AA9</f>
        <v>-152966.6</v>
      </c>
      <c r="AF9" s="23">
        <f>P9+T9+X9+AB9</f>
        <v>-181429.78467159776</v>
      </c>
      <c r="AG9" s="60"/>
      <c r="AH9" s="59"/>
      <c r="AJ9" s="403"/>
    </row>
    <row r="10" spans="1:38" ht="15.75" customHeight="1">
      <c r="A10" s="314" t="s">
        <v>472</v>
      </c>
      <c r="B10" s="315"/>
      <c r="C10" s="370">
        <v>166166</v>
      </c>
      <c r="D10" s="370">
        <v>187928</v>
      </c>
      <c r="E10" s="370">
        <v>250774</v>
      </c>
      <c r="F10" s="8">
        <v>229802</v>
      </c>
      <c r="G10" s="8">
        <v>206778</v>
      </c>
      <c r="H10" s="370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190549.61625630187</v>
      </c>
      <c r="O10" s="8">
        <f>SUM(O8:O9)</f>
        <v>33920.796144183594</v>
      </c>
      <c r="P10" s="8">
        <v>36510.938342352805</v>
      </c>
      <c r="Q10" s="61">
        <f>IFERROR(P10/O10-1,0)</f>
        <v>7.6358532009672242E-2</v>
      </c>
      <c r="R10" s="91">
        <f>P10-O10</f>
        <v>2590.142198169211</v>
      </c>
      <c r="S10" s="8">
        <v>49331.620272847998</v>
      </c>
      <c r="T10" s="8">
        <v>54739.223783473768</v>
      </c>
      <c r="U10" s="61">
        <f>IFERROR(T10/S10-1,0)</f>
        <v>0.10961739105095036</v>
      </c>
      <c r="V10" s="91">
        <f>T10-S10</f>
        <v>5407.6035106257696</v>
      </c>
      <c r="W10" s="8">
        <f t="shared" ref="W10" si="5">SUM(W8:W9)</f>
        <v>43640.10531543821</v>
      </c>
      <c r="X10" s="8">
        <v>52496.992371723609</v>
      </c>
      <c r="Y10" s="61">
        <f>X10/W10-1</f>
        <v>0.20295292580680746</v>
      </c>
      <c r="Z10" s="91">
        <f>X10-W10</f>
        <v>8856.887056285399</v>
      </c>
      <c r="AA10" s="8">
        <f t="shared" ref="AA10:AB10" si="6">SUM(AA8:AA9)</f>
        <v>62487.675987602903</v>
      </c>
      <c r="AB10" s="8">
        <f t="shared" si="6"/>
        <v>75103.072773488981</v>
      </c>
      <c r="AC10" s="61">
        <f>AB10/AA10-1</f>
        <v>0.20188615733426984</v>
      </c>
      <c r="AD10" s="91">
        <f>AB10-AA10</f>
        <v>12615.396785886078</v>
      </c>
      <c r="AE10" s="8">
        <f>SUM(AE8:AE9)</f>
        <v>189380.19772007267</v>
      </c>
      <c r="AF10" s="8">
        <f>SUM(AF8:AF9)</f>
        <v>218850.22727103916</v>
      </c>
      <c r="AG10" s="61">
        <f>IFERROR(AF10/AE10-1,0)</f>
        <v>0.15561304669523479</v>
      </c>
      <c r="AH10" s="91">
        <f>AF10-AE10</f>
        <v>29470.029550966487</v>
      </c>
      <c r="AJ10" s="403"/>
    </row>
    <row r="11" spans="1:38" ht="15.75" customHeight="1">
      <c r="A11" s="316" t="s">
        <v>473</v>
      </c>
      <c r="B11" s="316"/>
      <c r="C11" s="9">
        <f>C10/C8</f>
        <v>0.63414876159218414</v>
      </c>
      <c r="D11" s="9">
        <f t="shared" ref="D11:L11" si="7">D10/D8</f>
        <v>0.60095587779527571</v>
      </c>
      <c r="E11" s="9">
        <f t="shared" si="7"/>
        <v>0.57822553966807633</v>
      </c>
      <c r="F11" s="9">
        <f t="shared" si="7"/>
        <v>0.55583855183306607</v>
      </c>
      <c r="G11" s="9">
        <f t="shared" si="7"/>
        <v>0.52046726219691763</v>
      </c>
      <c r="H11" s="9">
        <f t="shared" si="7"/>
        <v>0.46991597124802392</v>
      </c>
      <c r="I11" s="9">
        <f t="shared" si="7"/>
        <v>0.4559951305002411</v>
      </c>
      <c r="J11" s="9">
        <f t="shared" si="7"/>
        <v>0.47975142432483103</v>
      </c>
      <c r="K11" s="9">
        <f t="shared" si="7"/>
        <v>0.3454583263166906</v>
      </c>
      <c r="L11" s="9">
        <f t="shared" si="7"/>
        <v>0.45950779918069407</v>
      </c>
      <c r="M11" s="9">
        <v>0.52536512848783778</v>
      </c>
      <c r="N11" s="9">
        <v>0.54251908085971101</v>
      </c>
      <c r="O11" s="9">
        <f t="shared" ref="O11:P11" si="8">O10/O8</f>
        <v>0.53402769264054628</v>
      </c>
      <c r="P11" s="9">
        <f t="shared" si="8"/>
        <v>0.53094115265630637</v>
      </c>
      <c r="Q11" s="9"/>
      <c r="R11" s="54">
        <f>(P11-O11)*100</f>
        <v>-0.3086539984239911</v>
      </c>
      <c r="S11" s="9">
        <v>0.56472176740048086</v>
      </c>
      <c r="T11" s="9">
        <v>0.54983462126796823</v>
      </c>
      <c r="U11" s="9"/>
      <c r="V11" s="54">
        <f>(T11-S11)*100</f>
        <v>-1.488714613251263</v>
      </c>
      <c r="W11" s="9">
        <f>W10/W8</f>
        <v>0.54275291530597713</v>
      </c>
      <c r="X11" s="9">
        <v>0.55444472449373783</v>
      </c>
      <c r="Y11" s="9"/>
      <c r="Z11" s="54">
        <f>(X11-W11)*100</f>
        <v>1.1691809187760693</v>
      </c>
      <c r="AA11" s="9">
        <f>AA10/AA8</f>
        <v>0.56261104300944276</v>
      </c>
      <c r="AB11" s="9">
        <f>AB10/AB8</f>
        <v>0.54710396800561745</v>
      </c>
      <c r="AC11" s="9"/>
      <c r="AD11" s="54">
        <f>(AB11-AA11)*100</f>
        <v>-1.550707500382531</v>
      </c>
      <c r="AE11" s="9">
        <f>AE10/AE8</f>
        <v>0.55318232558706015</v>
      </c>
      <c r="AF11" s="9">
        <f>AF10/AF8</f>
        <v>0.54674283187141004</v>
      </c>
      <c r="AG11" s="9"/>
      <c r="AH11" s="54">
        <f>(AF11-AE11)*100</f>
        <v>-0.64394937156501131</v>
      </c>
      <c r="AI11" s="298"/>
      <c r="AJ11" s="298"/>
    </row>
    <row r="12" spans="1:38">
      <c r="A12" s="330"/>
      <c r="B12" s="331"/>
      <c r="C12" s="366"/>
      <c r="D12" s="366"/>
      <c r="E12" s="366"/>
      <c r="F12" s="368"/>
      <c r="G12" s="43"/>
      <c r="H12" s="25"/>
      <c r="I12" s="368"/>
      <c r="J12" s="368"/>
      <c r="K12" s="25"/>
      <c r="L12" s="25"/>
      <c r="M12" s="25"/>
      <c r="N12" s="25"/>
      <c r="O12" s="25"/>
      <c r="P12" s="25"/>
      <c r="Q12" s="60"/>
      <c r="R12" s="59"/>
      <c r="S12" s="43"/>
      <c r="T12" s="23"/>
      <c r="U12" s="60"/>
      <c r="V12" s="59"/>
      <c r="W12" s="43"/>
      <c r="X12" s="23"/>
      <c r="Y12" s="58"/>
      <c r="Z12" s="59"/>
      <c r="AA12" s="43"/>
      <c r="AB12" s="23"/>
      <c r="AC12" s="58"/>
      <c r="AD12" s="59"/>
      <c r="AE12" s="24"/>
      <c r="AF12" s="24"/>
      <c r="AG12" s="58"/>
      <c r="AH12" s="59"/>
      <c r="AJ12" s="298"/>
      <c r="AL12" s="359"/>
    </row>
    <row r="13" spans="1:38" ht="15.75" customHeight="1">
      <c r="A13" s="314" t="s">
        <v>474</v>
      </c>
      <c r="B13" s="315"/>
      <c r="C13" s="370">
        <v>-69788</v>
      </c>
      <c r="D13" s="370">
        <v>-87861</v>
      </c>
      <c r="E13" s="370">
        <v>-132846</v>
      </c>
      <c r="F13" s="8">
        <v>-118936</v>
      </c>
      <c r="G13" s="8">
        <v>-129581</v>
      </c>
      <c r="H13" s="370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-18658</v>
      </c>
      <c r="P13" s="8">
        <v>-21942</v>
      </c>
      <c r="Q13" s="61">
        <f>IFERROR(P13/O13-1,0)</f>
        <v>0.17601029049201422</v>
      </c>
      <c r="R13" s="91">
        <f>P13-O13</f>
        <v>-3284</v>
      </c>
      <c r="S13" s="8">
        <v>-23068</v>
      </c>
      <c r="T13" s="8">
        <v>-25880</v>
      </c>
      <c r="U13" s="61">
        <f>IFERROR(T13/S13-1,0)</f>
        <v>0.12190046818103006</v>
      </c>
      <c r="V13" s="91">
        <f>T13-S13</f>
        <v>-2812</v>
      </c>
      <c r="W13" s="8">
        <v>-21684</v>
      </c>
      <c r="X13" s="8">
        <v>-27728</v>
      </c>
      <c r="Y13" s="61">
        <f>X13/W13-1</f>
        <v>0.27873086146467441</v>
      </c>
      <c r="Z13" s="91">
        <f>X13-W13</f>
        <v>-6044</v>
      </c>
      <c r="AA13" s="8">
        <v>-25213</v>
      </c>
      <c r="AB13" s="8">
        <f>AF13-X13-T13-P13</f>
        <v>-30039.26373000005</v>
      </c>
      <c r="AC13" s="61">
        <f>AB13/AA13-1</f>
        <v>0.19141965375005165</v>
      </c>
      <c r="AD13" s="91">
        <f>AB13-AA13</f>
        <v>-4826.2637300000497</v>
      </c>
      <c r="AE13" s="8">
        <f>O13+S13+W13+AA13</f>
        <v>-88623</v>
      </c>
      <c r="AF13" s="8">
        <v>-105589.26373000005</v>
      </c>
      <c r="AG13" s="61">
        <f>IFERROR(AF13/AE13-1,0)</f>
        <v>0.19144312119878637</v>
      </c>
      <c r="AH13" s="91">
        <f>AF13-AE13</f>
        <v>-16966.26373000005</v>
      </c>
      <c r="AI13" s="298"/>
      <c r="AJ13" s="298"/>
      <c r="AK13" s="387"/>
      <c r="AL13" s="386"/>
    </row>
    <row r="14" spans="1:38" ht="15.75" customHeight="1">
      <c r="A14" s="314" t="s">
        <v>475</v>
      </c>
      <c r="B14" s="315"/>
      <c r="C14" s="370"/>
      <c r="D14" s="370"/>
      <c r="E14" s="370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61">
        <f>IFERROR(P14/O14-1,0)</f>
        <v>0</v>
      </c>
      <c r="R14" s="91"/>
      <c r="S14" s="8">
        <v>0</v>
      </c>
      <c r="T14" s="8">
        <v>0</v>
      </c>
      <c r="U14" s="61">
        <f>IFERROR(T14/S14-1,0)</f>
        <v>0</v>
      </c>
      <c r="V14" s="91"/>
      <c r="W14" s="8"/>
      <c r="X14" s="8">
        <v>0</v>
      </c>
      <c r="Y14" s="61" t="e">
        <f>X14/W14-1</f>
        <v>#DIV/0!</v>
      </c>
      <c r="Z14" s="91">
        <f>X14-W14</f>
        <v>0</v>
      </c>
      <c r="AA14" s="8"/>
      <c r="AB14" s="8"/>
      <c r="AC14" s="61" t="e">
        <f>AB14/AA14-1</f>
        <v>#DIV/0!</v>
      </c>
      <c r="AD14" s="91">
        <f>AB14-AA14</f>
        <v>0</v>
      </c>
      <c r="AE14" s="8">
        <f>O14+S14</f>
        <v>0</v>
      </c>
      <c r="AF14" s="8">
        <v>0</v>
      </c>
      <c r="AG14" s="61">
        <f>IFERROR(AF14/AE14-1,0)</f>
        <v>0</v>
      </c>
      <c r="AH14" s="91"/>
      <c r="AL14" s="359"/>
    </row>
    <row r="15" spans="1:38" ht="15.75" hidden="1" customHeight="1">
      <c r="A15" s="314" t="s">
        <v>476</v>
      </c>
      <c r="B15" s="315"/>
      <c r="C15" s="370"/>
      <c r="D15" s="370"/>
      <c r="E15" s="370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/>
      <c r="P15" s="8"/>
      <c r="Q15" s="61"/>
      <c r="R15" s="91"/>
      <c r="S15" s="8"/>
      <c r="T15" s="8"/>
      <c r="U15" s="61"/>
      <c r="V15" s="91"/>
      <c r="W15" s="8"/>
      <c r="X15" s="8"/>
      <c r="Y15" s="61"/>
      <c r="Z15" s="91"/>
      <c r="AA15" s="8"/>
      <c r="AB15" s="8"/>
      <c r="AC15" s="61"/>
      <c r="AD15" s="91"/>
      <c r="AE15" s="8">
        <f>0</f>
        <v>0</v>
      </c>
      <c r="AF15" s="8">
        <f>0</f>
        <v>0</v>
      </c>
      <c r="AG15" s="61"/>
      <c r="AH15" s="91"/>
      <c r="AL15" s="359"/>
    </row>
    <row r="16" spans="1:38">
      <c r="A16" s="317" t="s">
        <v>477</v>
      </c>
      <c r="B16" s="317"/>
      <c r="C16" s="373">
        <v>-0.2663359157348395</v>
      </c>
      <c r="D16" s="373">
        <v>-0.28096177461033334</v>
      </c>
      <c r="E16" s="373">
        <v>-0.30631145989115816</v>
      </c>
      <c r="F16" s="373">
        <v>-0.28767901933324136</v>
      </c>
      <c r="G16" s="373">
        <v>-0.32615978635415172</v>
      </c>
      <c r="H16" s="373">
        <v>0.34386337823057539</v>
      </c>
      <c r="I16" s="373">
        <f>I13/I8</f>
        <v>-0.39013632246909513</v>
      </c>
      <c r="J16" s="373">
        <v>-0.37142106779077982</v>
      </c>
      <c r="K16" s="373">
        <v>-0.34047592695074708</v>
      </c>
      <c r="L16" s="373">
        <v>-0.32003172435784749</v>
      </c>
      <c r="M16" s="373">
        <v>-0.22330987692491522</v>
      </c>
      <c r="N16" s="373">
        <v>-0.23979932619726793</v>
      </c>
      <c r="O16" s="10">
        <f>SUM(O13:O15)/O8</f>
        <v>-0.29373982399867177</v>
      </c>
      <c r="P16" s="10">
        <f>SUM(P13:P15)/P8</f>
        <v>-0.31908001548321585</v>
      </c>
      <c r="Q16" s="10"/>
      <c r="R16" s="273">
        <f>(P16-O16)*100</f>
        <v>-2.5340191484544086</v>
      </c>
      <c r="S16" s="10">
        <v>-0.26407001550614634</v>
      </c>
      <c r="T16" s="10">
        <v>-0.25995472743095582</v>
      </c>
      <c r="U16" s="10"/>
      <c r="V16" s="273">
        <f>(T16-S16)*100</f>
        <v>0.41152880751905152</v>
      </c>
      <c r="W16" s="10">
        <f>SUM(W13:W14)/W8</f>
        <v>-0.26968436786359828</v>
      </c>
      <c r="X16" s="10">
        <v>-0.29284807807471747</v>
      </c>
      <c r="Y16" s="10"/>
      <c r="Z16" s="273">
        <f>(X16-W16)*100</f>
        <v>-2.3163710211119182</v>
      </c>
      <c r="AA16" s="10">
        <f>SUM(AA13:AA15)/AA8</f>
        <v>-0.22700655774446313</v>
      </c>
      <c r="AB16" s="10">
        <f>SUM(AB13:AB15)/AB8</f>
        <v>-0.21882726998690238</v>
      </c>
      <c r="AC16" s="10"/>
      <c r="AD16" s="273">
        <f>(AB16-AA16)*100</f>
        <v>0.81792877575607437</v>
      </c>
      <c r="AE16" s="10">
        <f>SUM(AE13:AE15)/AE8</f>
        <v>-0.25886907834454037</v>
      </c>
      <c r="AF16" s="10">
        <f>SUM(AF13:AF15)/AF8</f>
        <v>-0.26378849949952476</v>
      </c>
      <c r="AG16" s="10"/>
      <c r="AH16" s="273">
        <f>(AF16-AE16)*100</f>
        <v>-0.49194211549843936</v>
      </c>
      <c r="AL16" s="359"/>
    </row>
    <row r="17" spans="1:38">
      <c r="A17" s="330"/>
      <c r="B17" s="331"/>
      <c r="C17" s="366"/>
      <c r="D17" s="366"/>
      <c r="E17" s="366"/>
      <c r="F17" s="368"/>
      <c r="G17" s="43"/>
      <c r="H17" s="25"/>
      <c r="I17" s="368"/>
      <c r="J17" s="368"/>
      <c r="K17" s="25"/>
      <c r="L17" s="25"/>
      <c r="M17" s="25"/>
      <c r="N17" s="25"/>
      <c r="O17" s="25"/>
      <c r="P17" s="25"/>
      <c r="Q17" s="60"/>
      <c r="R17" s="59"/>
      <c r="S17" s="43"/>
      <c r="T17" s="23"/>
      <c r="U17" s="60"/>
      <c r="V17" s="59"/>
      <c r="W17" s="43"/>
      <c r="X17" s="23"/>
      <c r="Y17" s="58"/>
      <c r="Z17" s="59"/>
      <c r="AA17" s="43"/>
      <c r="AB17" s="23"/>
      <c r="AC17" s="58"/>
      <c r="AD17" s="59"/>
      <c r="AE17" s="24"/>
      <c r="AF17" s="23"/>
      <c r="AG17" s="58"/>
      <c r="AH17" s="59"/>
      <c r="AL17" s="359"/>
    </row>
    <row r="18" spans="1:38">
      <c r="A18" s="314" t="s">
        <v>478</v>
      </c>
      <c r="B18" s="315"/>
      <c r="C18" s="370">
        <v>-24415</v>
      </c>
      <c r="D18" s="370">
        <v>-27788</v>
      </c>
      <c r="E18" s="370">
        <v>-40504</v>
      </c>
      <c r="F18" s="8">
        <v>-33902</v>
      </c>
      <c r="G18" s="8">
        <v>-36416</v>
      </c>
      <c r="H18" s="370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-10584</v>
      </c>
      <c r="P18" s="8">
        <v>-9989</v>
      </c>
      <c r="Q18" s="61">
        <f>IFERROR(P18/O18-1,0)</f>
        <v>-5.6216931216931165E-2</v>
      </c>
      <c r="R18" s="91">
        <f>P18-O18</f>
        <v>595</v>
      </c>
      <c r="S18" s="8">
        <v>-10264</v>
      </c>
      <c r="T18" s="8">
        <v>-10547</v>
      </c>
      <c r="U18" s="61">
        <f>IFERROR(T18/S18-1,0)</f>
        <v>2.7572096648480038E-2</v>
      </c>
      <c r="V18" s="91">
        <f>T18-S18</f>
        <v>-283</v>
      </c>
      <c r="W18" s="8">
        <v>-9811</v>
      </c>
      <c r="X18" s="8">
        <v>-8948</v>
      </c>
      <c r="Y18" s="61">
        <f>X18/W18-1</f>
        <v>-8.7962491081439165E-2</v>
      </c>
      <c r="Z18" s="91">
        <f>X18-W18</f>
        <v>863</v>
      </c>
      <c r="AA18" s="8">
        <v>-10640</v>
      </c>
      <c r="AB18" s="8">
        <f>AF18-X18-T18-P18</f>
        <v>-11008.871306779016</v>
      </c>
      <c r="AC18" s="61">
        <f>AB18/AA18-1</f>
        <v>3.4668355900283387E-2</v>
      </c>
      <c r="AD18" s="91">
        <f>AB18-AA18</f>
        <v>-368.87130677901587</v>
      </c>
      <c r="AE18" s="8">
        <f>O18+S18+W18+AA18</f>
        <v>-41299</v>
      </c>
      <c r="AF18" s="8">
        <v>-40492.871306779016</v>
      </c>
      <c r="AG18" s="61">
        <f>IFERROR(AF18/AE18-1,0)</f>
        <v>-1.9519327180342994E-2</v>
      </c>
      <c r="AH18" s="91">
        <f>AF18-AE18</f>
        <v>806.12869322098413</v>
      </c>
      <c r="AI18" s="298"/>
      <c r="AJ18" s="298"/>
      <c r="AK18" s="298"/>
      <c r="AL18" s="103"/>
    </row>
    <row r="19" spans="1:38">
      <c r="A19" s="317" t="s">
        <v>477</v>
      </c>
      <c r="B19" s="317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-0.109594484574787</v>
      </c>
      <c r="O19" s="10">
        <f t="shared" ref="O19:P19" si="9">O18/O8</f>
        <v>-0.16662784313441645</v>
      </c>
      <c r="P19" s="10">
        <f t="shared" si="9"/>
        <v>-0.14525978829012137</v>
      </c>
      <c r="Q19" s="10"/>
      <c r="R19" s="273">
        <f>(P19-O19)*100</f>
        <v>2.1368054844295075</v>
      </c>
      <c r="S19" s="10">
        <v>-0.11749673310018578</v>
      </c>
      <c r="T19" s="10">
        <v>-0.10594059158478714</v>
      </c>
      <c r="U19" s="10"/>
      <c r="V19" s="273">
        <f>(T19-S19)*100</f>
        <v>1.1556141515398646</v>
      </c>
      <c r="W19" s="10">
        <f>W18/W8</f>
        <v>-0.12201961506685864</v>
      </c>
      <c r="X19" s="10">
        <v>-9.4503916712801922E-2</v>
      </c>
      <c r="Y19" s="10"/>
      <c r="Z19" s="273">
        <f>(X19-W19)*100</f>
        <v>2.7515698354056721</v>
      </c>
      <c r="AA19" s="10">
        <f t="shared" ref="AA19" si="10">AA18/AA8</f>
        <v>-9.5797793773096718E-2</v>
      </c>
      <c r="AB19" s="10">
        <f>AB18/AB8</f>
        <v>-8.0196414777426728E-2</v>
      </c>
      <c r="AC19" s="10"/>
      <c r="AD19" s="273">
        <f>(AB19-AA19)*100</f>
        <v>1.560137899566999</v>
      </c>
      <c r="AE19" s="10">
        <f t="shared" ref="AE19" si="11">AE18/AE8</f>
        <v>-0.12063498264052415</v>
      </c>
      <c r="AF19" s="10">
        <f>AF18/AF8</f>
        <v>-0.10116136229300889</v>
      </c>
      <c r="AG19" s="10"/>
      <c r="AH19" s="273">
        <f>(AF19-AE19)*100</f>
        <v>1.9473620347515264</v>
      </c>
    </row>
    <row r="20" spans="1:38">
      <c r="A20" s="330"/>
      <c r="B20" s="331"/>
      <c r="C20" s="366"/>
      <c r="D20" s="366"/>
      <c r="E20" s="366"/>
      <c r="F20" s="368"/>
      <c r="G20" s="43"/>
      <c r="H20" s="366"/>
      <c r="I20" s="368"/>
      <c r="J20" s="368"/>
      <c r="K20" s="368"/>
      <c r="L20" s="368"/>
      <c r="M20" s="368"/>
      <c r="N20" s="368"/>
      <c r="O20" s="24"/>
      <c r="P20" s="24"/>
      <c r="Q20" s="60"/>
      <c r="R20" s="59"/>
      <c r="S20" s="43"/>
      <c r="T20" s="23"/>
      <c r="U20" s="60"/>
      <c r="V20" s="59"/>
      <c r="W20" s="43"/>
      <c r="X20" s="23"/>
      <c r="Y20" s="60"/>
      <c r="Z20" s="59"/>
      <c r="AA20" s="43"/>
      <c r="AB20" s="23"/>
      <c r="AC20" s="60"/>
      <c r="AD20" s="59"/>
      <c r="AE20" s="24"/>
      <c r="AF20" s="23"/>
      <c r="AG20" s="60"/>
      <c r="AH20" s="59"/>
      <c r="AI20" s="298"/>
      <c r="AJ20" s="298"/>
      <c r="AK20" s="298"/>
      <c r="AL20" s="103"/>
    </row>
    <row r="21" spans="1:38">
      <c r="A21" s="314" t="s">
        <v>479</v>
      </c>
      <c r="B21" s="315"/>
      <c r="C21" s="370">
        <v>26537</v>
      </c>
      <c r="D21" s="370">
        <v>-7520</v>
      </c>
      <c r="E21" s="370">
        <v>-28934</v>
      </c>
      <c r="F21" s="8">
        <v>-11784</v>
      </c>
      <c r="G21" s="8">
        <v>-9126</v>
      </c>
      <c r="H21" s="370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-978</v>
      </c>
      <c r="P21" s="8">
        <v>-235.1127100000009</v>
      </c>
      <c r="Q21" s="61">
        <f>IFERROR(P21/O21-1,0)</f>
        <v>-0.75959845603271892</v>
      </c>
      <c r="R21" s="91">
        <f>P21-O21</f>
        <v>742.8872899999991</v>
      </c>
      <c r="S21" s="8">
        <v>815</v>
      </c>
      <c r="T21" s="8">
        <v>823.1127100000009</v>
      </c>
      <c r="U21" s="61">
        <f>IFERROR(T21/S21-1,0)</f>
        <v>9.9542453987742086E-3</v>
      </c>
      <c r="V21" s="91">
        <f>T21-S21</f>
        <v>8.1127100000009023</v>
      </c>
      <c r="W21" s="8">
        <v>2993.9329299999986</v>
      </c>
      <c r="X21" s="8">
        <v>-1188</v>
      </c>
      <c r="Y21" s="61">
        <f>X21/W21-1</f>
        <v>-1.3968024761329576</v>
      </c>
      <c r="Z21" s="91">
        <f>X21-W21</f>
        <v>-4181.932929999999</v>
      </c>
      <c r="AA21" s="8">
        <v>-573.93292999999858</v>
      </c>
      <c r="AB21" s="8">
        <f>AF21-X21-T21-P21</f>
        <v>-5401.1664099999998</v>
      </c>
      <c r="AC21" s="61">
        <f>AB21/AA21-1</f>
        <v>8.4107971988992052</v>
      </c>
      <c r="AD21" s="91">
        <f>AB21-AA21</f>
        <v>-4827.2334800000008</v>
      </c>
      <c r="AE21" s="8">
        <f>O21+S21+W21+AA21</f>
        <v>2257</v>
      </c>
      <c r="AF21" s="8">
        <v>-6001.1664099999998</v>
      </c>
      <c r="AG21" s="61">
        <f>IFERROR(AF21/AE21-1,0)</f>
        <v>-3.6589128976517502</v>
      </c>
      <c r="AH21" s="91">
        <f>AF21-AE21</f>
        <v>-8258.1664099999998</v>
      </c>
    </row>
    <row r="22" spans="1:38">
      <c r="A22" s="330"/>
      <c r="B22" s="331"/>
      <c r="C22" s="366"/>
      <c r="D22" s="366"/>
      <c r="E22" s="366"/>
      <c r="F22" s="368"/>
      <c r="G22" s="41"/>
      <c r="H22" s="366"/>
      <c r="I22" s="368"/>
      <c r="J22" s="368"/>
      <c r="K22" s="368"/>
      <c r="L22" s="368"/>
      <c r="M22" s="368"/>
      <c r="N22" s="368"/>
      <c r="O22" s="24"/>
      <c r="P22" s="24"/>
      <c r="Q22" s="60"/>
      <c r="R22" s="59"/>
      <c r="S22" s="43"/>
      <c r="T22" s="23"/>
      <c r="U22" s="60"/>
      <c r="V22" s="59"/>
      <c r="W22" s="43"/>
      <c r="X22" s="23"/>
      <c r="Y22" s="60"/>
      <c r="Z22" s="59"/>
      <c r="AA22" s="43"/>
      <c r="AB22" s="23"/>
      <c r="AC22" s="60"/>
      <c r="AD22" s="59"/>
      <c r="AE22" s="24"/>
      <c r="AF22" s="23"/>
      <c r="AG22" s="60"/>
      <c r="AH22" s="59"/>
      <c r="AI22" s="298"/>
      <c r="AJ22" s="298"/>
    </row>
    <row r="23" spans="1:38">
      <c r="A23" s="330" t="s">
        <v>480</v>
      </c>
      <c r="B23" s="331"/>
      <c r="C23" s="374">
        <f>C10+C13+C18+C21+C14+C15</f>
        <v>98500</v>
      </c>
      <c r="D23" s="374">
        <f t="shared" ref="D23:L23" si="12">D10+D13+D18+D21+D14+D15</f>
        <v>64759</v>
      </c>
      <c r="E23" s="374">
        <f t="shared" si="12"/>
        <v>48490</v>
      </c>
      <c r="F23" s="374">
        <f t="shared" si="12"/>
        <v>65180</v>
      </c>
      <c r="G23" s="374">
        <f t="shared" si="12"/>
        <v>31655</v>
      </c>
      <c r="H23" s="374">
        <f t="shared" si="12"/>
        <v>8544.9741403039661</v>
      </c>
      <c r="I23" s="374">
        <f t="shared" si="12"/>
        <v>-12773.390136322469</v>
      </c>
      <c r="J23" s="374">
        <f t="shared" si="12"/>
        <v>-2901.8242947548279</v>
      </c>
      <c r="K23" s="374">
        <f t="shared" si="12"/>
        <v>-126645</v>
      </c>
      <c r="L23" s="374">
        <f t="shared" si="12"/>
        <v>-9616</v>
      </c>
      <c r="M23" s="374">
        <v>50648.677914169384</v>
      </c>
      <c r="N23" s="374">
        <v>55600.616256301873</v>
      </c>
      <c r="O23" s="23">
        <f>O10+O13+O18+O21+O14</f>
        <v>3700.7961441835942</v>
      </c>
      <c r="P23" s="23">
        <f>P10+P13+P18+P21+P14</f>
        <v>4344.825632352804</v>
      </c>
      <c r="Q23" s="58">
        <f>IFERROR(P23/O23-1,0)</f>
        <v>0.17402457824687456</v>
      </c>
      <c r="R23" s="92">
        <f>P23-O23</f>
        <v>644.0294881692098</v>
      </c>
      <c r="S23" s="23">
        <v>16814.620272847998</v>
      </c>
      <c r="T23" s="23">
        <v>19135.336493473769</v>
      </c>
      <c r="U23" s="58">
        <f>IFERROR(T23/S23-1,0)</f>
        <v>0.13801775972147468</v>
      </c>
      <c r="V23" s="92">
        <f>T23-S23</f>
        <v>2320.7162206257708</v>
      </c>
      <c r="W23" s="23">
        <f>W10+W13+W18+W21+W14</f>
        <v>15139.038245438209</v>
      </c>
      <c r="X23" s="23">
        <v>14631.992371723609</v>
      </c>
      <c r="Y23" s="58">
        <f>X23/W23-1</f>
        <v>-3.3492608017380965E-2</v>
      </c>
      <c r="Z23" s="92">
        <f>X23-W23</f>
        <v>-507.04587371460002</v>
      </c>
      <c r="AA23" s="23">
        <f>AA10+AA13+AA18+AA21+AA14</f>
        <v>26060.743057602904</v>
      </c>
      <c r="AB23" s="23">
        <f>AB10+AB13+AB18+AB21+AB14</f>
        <v>28653.771326709917</v>
      </c>
      <c r="AC23" s="58">
        <f>AB23/AA23-1</f>
        <v>9.9499398899546287E-2</v>
      </c>
      <c r="AD23" s="92">
        <f>AB23-AA23</f>
        <v>2593.0282691070133</v>
      </c>
      <c r="AE23" s="23">
        <f>AE10+AE13+AE18+AE21+AE14</f>
        <v>61715.197720072669</v>
      </c>
      <c r="AF23" s="23">
        <f>AF10+AF13+AF18+AF21+AF14</f>
        <v>66766.925824260077</v>
      </c>
      <c r="AG23" s="58">
        <f>IFERROR(AF23/AE23-1,0)</f>
        <v>8.1855495741923967E-2</v>
      </c>
      <c r="AH23" s="92">
        <f>AF23-AE23</f>
        <v>5051.7281041874085</v>
      </c>
    </row>
    <row r="24" spans="1:38">
      <c r="A24" s="330"/>
      <c r="B24" s="331"/>
      <c r="C24" s="366"/>
      <c r="D24" s="366"/>
      <c r="E24" s="366"/>
      <c r="F24" s="368"/>
      <c r="G24" s="44"/>
      <c r="H24" s="366"/>
      <c r="I24" s="368"/>
      <c r="J24" s="368"/>
      <c r="K24" s="368"/>
      <c r="L24" s="368"/>
      <c r="M24" s="368"/>
      <c r="N24" s="368"/>
      <c r="O24" s="24"/>
      <c r="P24" s="24"/>
      <c r="Q24" s="60"/>
      <c r="R24" s="59"/>
      <c r="S24" s="44"/>
      <c r="T24" s="23"/>
      <c r="U24" s="60"/>
      <c r="V24" s="59"/>
      <c r="W24" s="44"/>
      <c r="X24" s="23"/>
      <c r="Y24" s="60"/>
      <c r="Z24" s="59"/>
      <c r="AA24" s="44"/>
      <c r="AB24" s="23"/>
      <c r="AC24" s="60"/>
      <c r="AD24" s="59"/>
      <c r="AE24" s="24"/>
      <c r="AF24" s="23"/>
      <c r="AG24" s="60"/>
      <c r="AH24" s="59"/>
      <c r="AI24" s="298"/>
    </row>
    <row r="25" spans="1:38">
      <c r="A25" s="315" t="s">
        <v>481</v>
      </c>
      <c r="B25" s="315"/>
      <c r="C25" s="370">
        <v>-9288</v>
      </c>
      <c r="D25" s="370">
        <v>-3374</v>
      </c>
      <c r="E25" s="370">
        <v>-29310</v>
      </c>
      <c r="F25" s="8">
        <v>-40566</v>
      </c>
      <c r="G25" s="8">
        <v>-58084</v>
      </c>
      <c r="H25" s="370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-7951</v>
      </c>
      <c r="P25" s="8">
        <v>-1367.2563799999998</v>
      </c>
      <c r="Q25" s="61">
        <f t="shared" ref="Q25:Q27" si="13">IFERROR(P25/O25-1,0)</f>
        <v>-0.82803969563576907</v>
      </c>
      <c r="R25" s="91">
        <f>P25-O25</f>
        <v>6583.7436200000002</v>
      </c>
      <c r="S25" s="8">
        <v>-7585</v>
      </c>
      <c r="T25" s="8">
        <v>-3450.7436200000002</v>
      </c>
      <c r="U25" s="61">
        <f t="shared" ref="U25:U27" si="14">IFERROR(T25/S25-1,0)</f>
        <v>-0.5450568727752142</v>
      </c>
      <c r="V25" s="91">
        <f>T25-S25</f>
        <v>4134.2563799999998</v>
      </c>
      <c r="W25" s="8">
        <v>-7588.1760299999996</v>
      </c>
      <c r="X25" s="8">
        <v>-8572</v>
      </c>
      <c r="Y25" s="61">
        <f>X25/W25-1</f>
        <v>0.12965223343665633</v>
      </c>
      <c r="Z25" s="91">
        <f>X25-W25</f>
        <v>-983.82397000000037</v>
      </c>
      <c r="AA25" s="8">
        <v>-4000.8239700000013</v>
      </c>
      <c r="AB25" s="8">
        <f t="shared" ref="AB25:AB26" si="15">AF25-X25-T25-P25</f>
        <v>-11677.360720000001</v>
      </c>
      <c r="AC25" s="61">
        <f>AB25/AA25-1</f>
        <v>1.9187389416685576</v>
      </c>
      <c r="AD25" s="91">
        <f>AB25-AA25</f>
        <v>-7676.5367499999993</v>
      </c>
      <c r="AE25" s="8">
        <f t="shared" ref="AE25:AE27" si="16">O25+S25+W25+AA25</f>
        <v>-27125</v>
      </c>
      <c r="AF25" s="8">
        <v>-25067.360720000001</v>
      </c>
      <c r="AG25" s="61">
        <f t="shared" ref="AG25:AG27" si="17">IFERROR(AF25/AE25-1,0)</f>
        <v>-7.5857669308755704E-2</v>
      </c>
      <c r="AH25" s="91">
        <f>AF25-AE25</f>
        <v>2057.6392799999994</v>
      </c>
    </row>
    <row r="26" spans="1:38">
      <c r="A26" s="315" t="s">
        <v>482</v>
      </c>
      <c r="B26" s="315"/>
      <c r="C26" s="370">
        <v>16592</v>
      </c>
      <c r="D26" s="370">
        <v>20034</v>
      </c>
      <c r="E26" s="370">
        <v>23764</v>
      </c>
      <c r="F26" s="8">
        <v>30667</v>
      </c>
      <c r="G26" s="8">
        <v>57485</v>
      </c>
      <c r="H26" s="370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7681</v>
      </c>
      <c r="P26" s="8">
        <v>6423</v>
      </c>
      <c r="Q26" s="61">
        <f t="shared" si="13"/>
        <v>-0.16378075771383938</v>
      </c>
      <c r="R26" s="91">
        <f>P26-O26</f>
        <v>-1258</v>
      </c>
      <c r="S26" s="8">
        <v>7949</v>
      </c>
      <c r="T26" s="8">
        <v>9780</v>
      </c>
      <c r="U26" s="61">
        <f t="shared" si="14"/>
        <v>0.23034343942634283</v>
      </c>
      <c r="V26" s="91">
        <f>T26-S26</f>
        <v>1831</v>
      </c>
      <c r="W26" s="8">
        <v>7710.3356745617602</v>
      </c>
      <c r="X26" s="8">
        <v>8647</v>
      </c>
      <c r="Y26" s="61">
        <f>X26/W26-1</f>
        <v>0.12148165332522676</v>
      </c>
      <c r="Z26" s="91">
        <f>X26-W26</f>
        <v>936.66432543823976</v>
      </c>
      <c r="AA26" s="8">
        <v>7300.6643254382398</v>
      </c>
      <c r="AB26" s="8">
        <f t="shared" si="15"/>
        <v>18553.342913635977</v>
      </c>
      <c r="AC26" s="61">
        <f>AB26/AA26-1</f>
        <v>1.5413225545775613</v>
      </c>
      <c r="AD26" s="91">
        <f>AB26-AA26</f>
        <v>11252.678588197738</v>
      </c>
      <c r="AE26" s="8">
        <f t="shared" si="16"/>
        <v>30641</v>
      </c>
      <c r="AF26" s="8">
        <v>43403.342913635977</v>
      </c>
      <c r="AG26" s="61">
        <f t="shared" si="17"/>
        <v>0.41651195827929821</v>
      </c>
      <c r="AH26" s="91">
        <f>AF26-AE26</f>
        <v>12762.342913635977</v>
      </c>
    </row>
    <row r="27" spans="1:38">
      <c r="A27" s="314" t="s">
        <v>483</v>
      </c>
      <c r="B27" s="315"/>
      <c r="C27" s="370">
        <f>SUM(C25:C26)</f>
        <v>7304</v>
      </c>
      <c r="D27" s="370">
        <f t="shared" ref="D27:L27" si="18">SUM(D25:D26)</f>
        <v>16660</v>
      </c>
      <c r="E27" s="370">
        <f t="shared" si="18"/>
        <v>-5546</v>
      </c>
      <c r="F27" s="370">
        <f t="shared" si="18"/>
        <v>-9899</v>
      </c>
      <c r="G27" s="370">
        <f t="shared" si="18"/>
        <v>-599</v>
      </c>
      <c r="H27" s="370">
        <f t="shared" si="18"/>
        <v>-6690</v>
      </c>
      <c r="I27" s="370">
        <f t="shared" si="18"/>
        <v>-2499</v>
      </c>
      <c r="J27" s="370">
        <f t="shared" si="18"/>
        <v>4249</v>
      </c>
      <c r="K27" s="370">
        <f t="shared" si="18"/>
        <v>-5183</v>
      </c>
      <c r="L27" s="370">
        <f t="shared" si="18"/>
        <v>-24308</v>
      </c>
      <c r="M27" s="370">
        <v>-15031</v>
      </c>
      <c r="N27" s="370">
        <v>-9971</v>
      </c>
      <c r="O27" s="8">
        <f t="shared" ref="O27" si="19">O26+O25</f>
        <v>-270</v>
      </c>
      <c r="P27" s="8">
        <v>5055.8470842935685</v>
      </c>
      <c r="Q27" s="61">
        <f t="shared" si="13"/>
        <v>-19.725359571457663</v>
      </c>
      <c r="R27" s="91">
        <f>P27-O27</f>
        <v>5325.8470842935685</v>
      </c>
      <c r="S27" s="8">
        <v>364</v>
      </c>
      <c r="T27" s="8">
        <v>6329.2563799999998</v>
      </c>
      <c r="U27" s="61">
        <f t="shared" si="14"/>
        <v>16.388066978021978</v>
      </c>
      <c r="V27" s="91">
        <f>T27-S27</f>
        <v>5965.2563799999998</v>
      </c>
      <c r="W27" s="8">
        <f t="shared" ref="W27" si="20">W26+W25</f>
        <v>122.15964456176062</v>
      </c>
      <c r="X27" s="8">
        <v>75</v>
      </c>
      <c r="Y27" s="61">
        <f>X27/W27-1</f>
        <v>-0.38604929419156886</v>
      </c>
      <c r="Z27" s="91">
        <f>X27-W27</f>
        <v>-47.159644561760615</v>
      </c>
      <c r="AA27" s="8">
        <v>3299.8403554382385</v>
      </c>
      <c r="AB27" s="8">
        <f t="shared" ref="AB27" si="21">AB26+AB25</f>
        <v>6875.9821936359767</v>
      </c>
      <c r="AC27" s="61">
        <f>AB27/AA27-1</f>
        <v>1.0837317727520199</v>
      </c>
      <c r="AD27" s="91">
        <f>AB27-AA27</f>
        <v>3576.1418381977383</v>
      </c>
      <c r="AE27" s="8">
        <f t="shared" si="16"/>
        <v>3515.9999999999991</v>
      </c>
      <c r="AF27" s="8">
        <f>SUM(AF25:AF26)</f>
        <v>18335.982193635977</v>
      </c>
      <c r="AG27" s="61">
        <f t="shared" si="17"/>
        <v>4.215012000465296</v>
      </c>
      <c r="AH27" s="91">
        <f>AF27-AE27</f>
        <v>14819.982193635977</v>
      </c>
    </row>
    <row r="28" spans="1:38">
      <c r="A28" s="330"/>
      <c r="B28" s="331"/>
      <c r="C28" s="366"/>
      <c r="D28" s="366"/>
      <c r="E28" s="366"/>
      <c r="F28" s="375"/>
      <c r="G28" s="41"/>
      <c r="H28" s="366"/>
      <c r="I28" s="375"/>
      <c r="J28" s="375"/>
      <c r="K28" s="375"/>
      <c r="L28" s="375"/>
      <c r="M28" s="375"/>
      <c r="N28" s="375"/>
      <c r="O28" s="86"/>
      <c r="P28" s="86"/>
      <c r="Q28" s="60"/>
      <c r="R28" s="59"/>
      <c r="S28" s="43"/>
      <c r="T28" s="23"/>
      <c r="U28" s="60"/>
      <c r="V28" s="59"/>
      <c r="W28" s="43"/>
      <c r="X28" s="23"/>
      <c r="Y28" s="60"/>
      <c r="Z28" s="59"/>
      <c r="AA28" s="43"/>
      <c r="AB28" s="23"/>
      <c r="AC28" s="60"/>
      <c r="AD28" s="59"/>
      <c r="AE28" s="86"/>
      <c r="AF28" s="86"/>
      <c r="AG28" s="60"/>
      <c r="AH28" s="59"/>
    </row>
    <row r="29" spans="1:38">
      <c r="A29" s="330" t="s">
        <v>484</v>
      </c>
      <c r="B29" s="331"/>
      <c r="C29" s="366">
        <f>C23+C27</f>
        <v>105804</v>
      </c>
      <c r="D29" s="366">
        <f t="shared" ref="D29:L29" si="22">D23+D27</f>
        <v>81419</v>
      </c>
      <c r="E29" s="366">
        <f t="shared" si="22"/>
        <v>42944</v>
      </c>
      <c r="F29" s="366">
        <f t="shared" si="22"/>
        <v>55281</v>
      </c>
      <c r="G29" s="366">
        <f t="shared" si="22"/>
        <v>31056</v>
      </c>
      <c r="H29" s="366">
        <f t="shared" si="22"/>
        <v>1854.9741403039661</v>
      </c>
      <c r="I29" s="366">
        <f t="shared" si="22"/>
        <v>-15272.390136322469</v>
      </c>
      <c r="J29" s="366">
        <f t="shared" si="22"/>
        <v>1347.1757052451721</v>
      </c>
      <c r="K29" s="366">
        <f t="shared" si="22"/>
        <v>-131828</v>
      </c>
      <c r="L29" s="366">
        <f t="shared" si="22"/>
        <v>-33924</v>
      </c>
      <c r="M29" s="366">
        <v>35617.677914169384</v>
      </c>
      <c r="N29" s="366">
        <v>45629.616256301873</v>
      </c>
      <c r="O29" s="23">
        <f>O23+O27</f>
        <v>3430.7961441835942</v>
      </c>
      <c r="P29" s="23">
        <f>P23+P27</f>
        <v>9400.6727166463716</v>
      </c>
      <c r="Q29" s="58">
        <f>IFERROR(P29/O29-1,0)</f>
        <v>1.7400849020376268</v>
      </c>
      <c r="R29" s="92">
        <f>P29-O29</f>
        <v>5969.8765724627774</v>
      </c>
      <c r="S29" s="23">
        <v>17178.620272847998</v>
      </c>
      <c r="T29" s="23">
        <v>25464.592873473768</v>
      </c>
      <c r="U29" s="58">
        <f>IFERROR(T29/S29-1,0)</f>
        <v>0.48234214791523877</v>
      </c>
      <c r="V29" s="92">
        <f>T29-S29</f>
        <v>8285.9726006257697</v>
      </c>
      <c r="W29" s="23">
        <f>W23+W27</f>
        <v>15261.19788999997</v>
      </c>
      <c r="X29" s="23">
        <v>14706.992371723609</v>
      </c>
      <c r="Y29" s="58">
        <f>X29/W29-1</f>
        <v>-3.6314680031736546E-2</v>
      </c>
      <c r="Z29" s="92">
        <f>X29-W29</f>
        <v>-554.20551827636154</v>
      </c>
      <c r="AA29" s="23">
        <v>29360.583413041142</v>
      </c>
      <c r="AB29" s="23">
        <f>AB23+AB27</f>
        <v>35529.753520345897</v>
      </c>
      <c r="AC29" s="58">
        <f>AB29/AA29-1</f>
        <v>0.21011742241349962</v>
      </c>
      <c r="AD29" s="92">
        <f>AB29-AA29</f>
        <v>6169.1701073047552</v>
      </c>
      <c r="AE29" s="23">
        <f>AE23+AE27</f>
        <v>65231.197720072669</v>
      </c>
      <c r="AF29" s="23">
        <f>AF23+AF27</f>
        <v>85102.908017896058</v>
      </c>
      <c r="AG29" s="58">
        <f>IFERROR(AF29/AE29-1,0)</f>
        <v>0.30463506715144284</v>
      </c>
      <c r="AH29" s="92">
        <f>AF29-AE29</f>
        <v>19871.710297823389</v>
      </c>
    </row>
    <row r="30" spans="1:38">
      <c r="A30" s="330"/>
      <c r="B30" s="331"/>
      <c r="C30" s="366"/>
      <c r="D30" s="366"/>
      <c r="E30" s="366"/>
      <c r="F30" s="23"/>
      <c r="G30" s="23"/>
      <c r="H30" s="366"/>
      <c r="I30" s="23">
        <v>0</v>
      </c>
      <c r="J30" s="23"/>
      <c r="K30" s="23"/>
      <c r="L30" s="23"/>
      <c r="M30" s="23"/>
      <c r="N30" s="23"/>
      <c r="O30" s="23"/>
      <c r="P30" s="23"/>
      <c r="Q30" s="60"/>
      <c r="R30" s="59"/>
      <c r="S30" s="23"/>
      <c r="T30" s="23"/>
      <c r="U30" s="60"/>
      <c r="V30" s="59"/>
      <c r="W30" s="23"/>
      <c r="X30" s="23"/>
      <c r="Y30" s="60"/>
      <c r="Z30" s="274"/>
      <c r="AA30" s="23"/>
      <c r="AB30" s="23"/>
      <c r="AC30" s="60"/>
      <c r="AD30" s="274"/>
      <c r="AE30" s="23"/>
      <c r="AF30" s="23"/>
      <c r="AG30" s="60"/>
      <c r="AH30" s="92"/>
    </row>
    <row r="31" spans="1:38">
      <c r="A31" s="331" t="s">
        <v>485</v>
      </c>
      <c r="B31" s="331"/>
      <c r="C31" s="366">
        <v>-5992</v>
      </c>
      <c r="D31" s="366">
        <v>-6459</v>
      </c>
      <c r="E31" s="366">
        <v>-7244</v>
      </c>
      <c r="F31" s="23">
        <v>-7146</v>
      </c>
      <c r="G31" s="23">
        <v>-7223</v>
      </c>
      <c r="H31" s="366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-997</v>
      </c>
      <c r="P31" s="23">
        <v>-724.82547541100007</v>
      </c>
      <c r="Q31" s="58">
        <f t="shared" ref="Q31:Q32" si="23">IFERROR(P31/O31-1,0)</f>
        <v>-0.27299350510431286</v>
      </c>
      <c r="R31" s="92">
        <f>P31-O31</f>
        <v>272.17452458899993</v>
      </c>
      <c r="S31" s="23">
        <v>-1314</v>
      </c>
      <c r="T31" s="23">
        <v>-1726.1745245889999</v>
      </c>
      <c r="U31" s="58">
        <f t="shared" ref="U31:U32" si="24">IFERROR(T31/S31-1,0)</f>
        <v>0.31367924245738199</v>
      </c>
      <c r="V31" s="92">
        <f>T31-S31</f>
        <v>-412.17452458899993</v>
      </c>
      <c r="W31" s="23">
        <v>-412</v>
      </c>
      <c r="X31" s="23">
        <v>-2756</v>
      </c>
      <c r="Y31" s="58"/>
      <c r="Z31" s="92">
        <f>X31-W31</f>
        <v>-2344</v>
      </c>
      <c r="AA31" s="23">
        <v>103</v>
      </c>
      <c r="AB31" s="23">
        <f>AF31-X31-T31-P31</f>
        <v>-6313.847135410997</v>
      </c>
      <c r="AC31" s="58"/>
      <c r="AD31" s="92">
        <f>AB31-AA31</f>
        <v>-6416.847135410997</v>
      </c>
      <c r="AE31" s="23">
        <f t="shared" ref="AE31:AE32" si="25">O31+S31+W31+AA31</f>
        <v>-2620</v>
      </c>
      <c r="AF31" s="23">
        <v>-11520.847135410997</v>
      </c>
      <c r="AG31" s="58">
        <f t="shared" ref="AG31:AG32" si="26">IFERROR(AF31/AE31-1,0)</f>
        <v>3.3972698990118309</v>
      </c>
      <c r="AH31" s="92">
        <f>AF31-AE31</f>
        <v>-8900.847135410997</v>
      </c>
    </row>
    <row r="32" spans="1:38">
      <c r="A32" s="331" t="s">
        <v>486</v>
      </c>
      <c r="B32" s="331"/>
      <c r="C32" s="366">
        <v>-10855</v>
      </c>
      <c r="D32" s="366">
        <v>-11196</v>
      </c>
      <c r="E32" s="366">
        <v>-4178</v>
      </c>
      <c r="F32" s="23">
        <v>-1907</v>
      </c>
      <c r="G32" s="23">
        <v>-1818</v>
      </c>
      <c r="H32" s="366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574</v>
      </c>
      <c r="P32" s="23">
        <v>-2805.6748700000003</v>
      </c>
      <c r="Q32" s="58">
        <f t="shared" si="23"/>
        <v>-5.8879353135888506</v>
      </c>
      <c r="R32" s="92">
        <f>P32-O32</f>
        <v>-3379.6748700000003</v>
      </c>
      <c r="S32" s="23">
        <v>-769</v>
      </c>
      <c r="T32" s="23">
        <v>-3667.3251299999997</v>
      </c>
      <c r="U32" s="58">
        <f t="shared" si="24"/>
        <v>3.7689533550065013</v>
      </c>
      <c r="V32" s="92">
        <f>T32-S32</f>
        <v>-2898.3251299999997</v>
      </c>
      <c r="W32" s="23">
        <v>-1864</v>
      </c>
      <c r="X32" s="23">
        <v>930</v>
      </c>
      <c r="Y32" s="58">
        <f>X32/W32-1</f>
        <v>-1.4989270386266094</v>
      </c>
      <c r="Z32" s="92">
        <f>X32-W32</f>
        <v>2794</v>
      </c>
      <c r="AA32" s="23">
        <v>-4340</v>
      </c>
      <c r="AB32" s="23">
        <f>AF32-X32-T32-P32</f>
        <v>-3204.6322700000005</v>
      </c>
      <c r="AC32" s="58">
        <f>AB32/AA32-1</f>
        <v>-0.26160546774193538</v>
      </c>
      <c r="AD32" s="92">
        <f>AB32-AA32</f>
        <v>1135.3677299999995</v>
      </c>
      <c r="AE32" s="23">
        <f t="shared" si="25"/>
        <v>-6399</v>
      </c>
      <c r="AF32" s="23">
        <v>-8747.6322700000001</v>
      </c>
      <c r="AG32" s="58">
        <f t="shared" si="26"/>
        <v>0.3670311408032505</v>
      </c>
      <c r="AH32" s="92">
        <f>AF32-AE32</f>
        <v>-2348.6322700000001</v>
      </c>
    </row>
    <row r="33" spans="1:34">
      <c r="A33" s="314" t="s">
        <v>487</v>
      </c>
      <c r="B33" s="315"/>
      <c r="C33" s="370">
        <f>SUM(C31:C32)</f>
        <v>-16847</v>
      </c>
      <c r="D33" s="370">
        <f t="shared" ref="D33:L33" si="27">SUM(D31:D32)</f>
        <v>-17655</v>
      </c>
      <c r="E33" s="370">
        <f t="shared" si="27"/>
        <v>-11422</v>
      </c>
      <c r="F33" s="370">
        <f t="shared" si="27"/>
        <v>-9053</v>
      </c>
      <c r="G33" s="370">
        <f t="shared" si="27"/>
        <v>-9041</v>
      </c>
      <c r="H33" s="370">
        <f t="shared" si="27"/>
        <v>-3791</v>
      </c>
      <c r="I33" s="370">
        <f t="shared" si="27"/>
        <v>3188</v>
      </c>
      <c r="J33" s="370">
        <f t="shared" si="27"/>
        <v>13022</v>
      </c>
      <c r="K33" s="370">
        <f t="shared" si="27"/>
        <v>9174</v>
      </c>
      <c r="L33" s="370">
        <f t="shared" si="27"/>
        <v>5761</v>
      </c>
      <c r="M33" s="370">
        <v>-7537</v>
      </c>
      <c r="N33" s="370">
        <v>-5707</v>
      </c>
      <c r="O33" s="8">
        <f t="shared" ref="O33:P33" si="28">SUM(O31:O32)</f>
        <v>-423</v>
      </c>
      <c r="P33" s="8">
        <f t="shared" si="28"/>
        <v>-3530.5003454110001</v>
      </c>
      <c r="Q33" s="61">
        <f>IFERROR(P33/O33-1,0)</f>
        <v>7.3463365139739949</v>
      </c>
      <c r="R33" s="91">
        <f>P33-O33</f>
        <v>-3107.5003454110001</v>
      </c>
      <c r="S33" s="8">
        <v>-2083</v>
      </c>
      <c r="T33" s="8">
        <v>-5393.4996545889999</v>
      </c>
      <c r="U33" s="61">
        <f>IFERROR(T33/S33-1,0)</f>
        <v>1.5892941212621219</v>
      </c>
      <c r="V33" s="91">
        <f>T33-S33</f>
        <v>-3310.4996545889999</v>
      </c>
      <c r="W33" s="8">
        <f>SUM(W31:W32)</f>
        <v>-2276</v>
      </c>
      <c r="X33" s="8">
        <v>-1826</v>
      </c>
      <c r="Y33" s="61">
        <f>X33/W33-1</f>
        <v>-0.19771528998242527</v>
      </c>
      <c r="Z33" s="91">
        <f>X33-W33</f>
        <v>450</v>
      </c>
      <c r="AA33" s="8">
        <f>SUM(AA31:AA32)</f>
        <v>-4237</v>
      </c>
      <c r="AB33" s="8">
        <f>SUM(AB31:AB32)</f>
        <v>-9518.4794054109971</v>
      </c>
      <c r="AC33" s="61">
        <f>AB33/AA33-1</f>
        <v>1.2465139026223735</v>
      </c>
      <c r="AD33" s="91">
        <f>AB33-AA33</f>
        <v>-5281.4794054109971</v>
      </c>
      <c r="AE33" s="8">
        <f t="shared" ref="AE33" si="29">SUM(AE31:AE32)</f>
        <v>-9019</v>
      </c>
      <c r="AF33" s="8">
        <f>SUM(AF31:AF32)</f>
        <v>-20268.479405410995</v>
      </c>
      <c r="AG33" s="61">
        <f>IFERROR(AF33/AE33-1,0)</f>
        <v>1.2473089483768707</v>
      </c>
      <c r="AH33" s="91">
        <f>AF33-AE33</f>
        <v>-11249.479405410995</v>
      </c>
    </row>
    <row r="34" spans="1:34">
      <c r="A34" s="330"/>
      <c r="B34" s="331"/>
      <c r="C34" s="366"/>
      <c r="D34" s="366"/>
      <c r="E34" s="366"/>
      <c r="F34" s="368"/>
      <c r="G34" s="7"/>
      <c r="H34" s="366"/>
      <c r="I34" s="368"/>
      <c r="J34" s="368"/>
      <c r="K34" s="368"/>
      <c r="L34" s="368"/>
      <c r="M34" s="368"/>
      <c r="N34" s="368"/>
      <c r="O34" s="24"/>
      <c r="P34" s="24"/>
      <c r="Q34" s="60"/>
      <c r="R34" s="59"/>
      <c r="S34" s="7"/>
      <c r="T34" s="23"/>
      <c r="U34" s="60"/>
      <c r="V34" s="59"/>
      <c r="W34" s="7"/>
      <c r="X34" s="23"/>
      <c r="Y34" s="60"/>
      <c r="Z34" s="59"/>
      <c r="AA34" s="7"/>
      <c r="AB34" s="23"/>
      <c r="AC34" s="60"/>
      <c r="AD34" s="59"/>
      <c r="AE34" s="24"/>
      <c r="AF34" s="24"/>
      <c r="AG34" s="60"/>
      <c r="AH34" s="59"/>
    </row>
    <row r="35" spans="1:34">
      <c r="A35" s="314" t="s">
        <v>488</v>
      </c>
      <c r="B35" s="315"/>
      <c r="C35" s="370">
        <f>C29+C33</f>
        <v>88957</v>
      </c>
      <c r="D35" s="370">
        <f t="shared" ref="D35:L35" si="30">D29+D33</f>
        <v>63764</v>
      </c>
      <c r="E35" s="370">
        <f t="shared" si="30"/>
        <v>31522</v>
      </c>
      <c r="F35" s="370">
        <f t="shared" si="30"/>
        <v>46228</v>
      </c>
      <c r="G35" s="370">
        <f t="shared" si="30"/>
        <v>22015</v>
      </c>
      <c r="H35" s="370">
        <f t="shared" si="30"/>
        <v>-1936.0258596960339</v>
      </c>
      <c r="I35" s="370">
        <f t="shared" si="30"/>
        <v>-12084.390136322469</v>
      </c>
      <c r="J35" s="370">
        <f t="shared" si="30"/>
        <v>14369.175705245172</v>
      </c>
      <c r="K35" s="370">
        <f t="shared" si="30"/>
        <v>-122654</v>
      </c>
      <c r="L35" s="370">
        <f t="shared" si="30"/>
        <v>-28163</v>
      </c>
      <c r="M35" s="370">
        <v>28080.677914169384</v>
      </c>
      <c r="N35" s="370">
        <v>39922.616256301873</v>
      </c>
      <c r="O35" s="8">
        <f t="shared" ref="O35" si="31">SUM(O29:O32)</f>
        <v>3007.7961441835942</v>
      </c>
      <c r="P35" s="8">
        <f>SUM(P29:P32)</f>
        <v>5870.1723712353705</v>
      </c>
      <c r="Q35" s="61">
        <f>IFERROR(P35/O35-1,0)</f>
        <v>0.95165233607569211</v>
      </c>
      <c r="R35" s="91">
        <f>P35-O35</f>
        <v>2862.3762270517764</v>
      </c>
      <c r="S35" s="8">
        <v>15095.620272847998</v>
      </c>
      <c r="T35" s="8">
        <v>20071.093218884766</v>
      </c>
      <c r="U35" s="61">
        <f>IFERROR(T35/S35-1,0)</f>
        <v>0.32959711864149033</v>
      </c>
      <c r="V35" s="91">
        <f>T35-S35</f>
        <v>4975.4729460367671</v>
      </c>
      <c r="W35" s="8">
        <f>SUM(W29:W32)</f>
        <v>12985.19788999997</v>
      </c>
      <c r="X35" s="8">
        <v>12880.992371723609</v>
      </c>
      <c r="Y35" s="61">
        <f>X35/W35-1</f>
        <v>-8.0249464936233972E-3</v>
      </c>
      <c r="Z35" s="91">
        <f>X35-W35</f>
        <v>-104.20551827636154</v>
      </c>
      <c r="AA35" s="8">
        <f t="shared" ref="AA35:AB35" si="32">SUM(AA29:AA32)</f>
        <v>25123.583413041142</v>
      </c>
      <c r="AB35" s="8">
        <f t="shared" si="32"/>
        <v>26011.274114934899</v>
      </c>
      <c r="AC35" s="61">
        <f>AB35/AA35-1</f>
        <v>3.5332965337778077E-2</v>
      </c>
      <c r="AD35" s="91">
        <f>AB35-AA35</f>
        <v>887.69070189375634</v>
      </c>
      <c r="AE35" s="8">
        <f>SUM(AE29:AE32)</f>
        <v>56212.197720072669</v>
      </c>
      <c r="AF35" s="8">
        <f t="shared" ref="AF35" si="33">SUM(AF29:AF32)</f>
        <v>64834.428612485062</v>
      </c>
      <c r="AG35" s="61">
        <f>IFERROR(AF35/AE35-1,0)</f>
        <v>0.15338718716086608</v>
      </c>
      <c r="AH35" s="91">
        <f>AF35-AE35</f>
        <v>8622.2308924123936</v>
      </c>
    </row>
    <row r="36" spans="1:34">
      <c r="A36" s="316" t="s">
        <v>489</v>
      </c>
      <c r="B36" s="316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0.11366478454488911</v>
      </c>
      <c r="O36" s="9">
        <f>O35/O8</f>
        <v>4.7352851860669551E-2</v>
      </c>
      <c r="P36" s="9">
        <f t="shared" ref="P36" si="34">P35/P8</f>
        <v>8.5363899877081761E-2</v>
      </c>
      <c r="Q36" s="9"/>
      <c r="R36" s="54">
        <f>(P36-O36)*100</f>
        <v>3.801104801641221</v>
      </c>
      <c r="S36" s="9">
        <v>0.17280651463177854</v>
      </c>
      <c r="T36" s="9">
        <v>0.20160647476647969</v>
      </c>
      <c r="U36" s="9"/>
      <c r="V36" s="54">
        <f>(T36-S36)*100</f>
        <v>2.879996013470115</v>
      </c>
      <c r="W36" s="9">
        <f>W35/W8</f>
        <v>0.16149718154161466</v>
      </c>
      <c r="X36" s="9">
        <v>0.13604204629812303</v>
      </c>
      <c r="Y36" s="9"/>
      <c r="Z36" s="54">
        <f>(X36-W36)*100</f>
        <v>-2.5455135243491633</v>
      </c>
      <c r="AA36" s="9">
        <f t="shared" ref="AA36:AB36" si="35">AA35/AA8</f>
        <v>0.22620149084997263</v>
      </c>
      <c r="AB36" s="9">
        <f t="shared" si="35"/>
        <v>0.1894845411196826</v>
      </c>
      <c r="AC36" s="9"/>
      <c r="AD36" s="54">
        <f>(AB36-AA36)*100</f>
        <v>-3.6716949730290023</v>
      </c>
      <c r="AE36" s="9">
        <f>AE35/AE8</f>
        <v>0.16419665115733256</v>
      </c>
      <c r="AF36" s="9">
        <f t="shared" ref="AF36" si="36">AF35/AF8</f>
        <v>0.16197268581518959</v>
      </c>
      <c r="AG36" s="9"/>
      <c r="AH36" s="54">
        <f>(AF36-AE36)*100</f>
        <v>-0.2223965342142975</v>
      </c>
    </row>
    <row r="37" spans="1:34">
      <c r="A37" s="330"/>
      <c r="B37" s="331"/>
      <c r="C37" s="368"/>
      <c r="D37" s="368"/>
      <c r="E37" s="368"/>
      <c r="F37" s="368"/>
      <c r="G37" s="368"/>
      <c r="H37" s="376"/>
      <c r="I37" s="368"/>
      <c r="J37" s="368"/>
      <c r="K37" s="368"/>
      <c r="L37" s="368"/>
      <c r="M37" s="368"/>
      <c r="N37" s="368"/>
      <c r="O37" s="24"/>
      <c r="P37" s="24"/>
      <c r="Q37" s="60"/>
      <c r="R37" s="59"/>
      <c r="S37" s="45"/>
      <c r="T37" s="45"/>
      <c r="U37" s="60"/>
      <c r="V37" s="59"/>
      <c r="W37" s="45"/>
      <c r="X37" s="45"/>
      <c r="Y37" s="60"/>
      <c r="Z37" s="59"/>
      <c r="AA37" s="45"/>
      <c r="AB37" s="45"/>
      <c r="AC37" s="60"/>
      <c r="AD37" s="59"/>
      <c r="AE37" s="24"/>
      <c r="AF37" s="24"/>
      <c r="AG37" s="60"/>
      <c r="AH37" s="59"/>
    </row>
    <row r="38" spans="1:34">
      <c r="A38" s="329" t="s">
        <v>490</v>
      </c>
      <c r="B38" s="320"/>
      <c r="C38" s="377">
        <v>-3147</v>
      </c>
      <c r="D38" s="378">
        <v>-5425</v>
      </c>
      <c r="E38" s="378">
        <v>-9599</v>
      </c>
      <c r="F38" s="23">
        <v>-13148.34042</v>
      </c>
      <c r="G38" s="23">
        <v>-14029</v>
      </c>
      <c r="H38" s="378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-2418</v>
      </c>
      <c r="P38" s="23">
        <v>-2436</v>
      </c>
      <c r="Q38" s="65">
        <f>IFERROR(P38/O38-1,0)</f>
        <v>7.4441687344912744E-3</v>
      </c>
      <c r="R38" s="92">
        <f>P38-O38</f>
        <v>-18</v>
      </c>
      <c r="S38" s="23">
        <v>-2325</v>
      </c>
      <c r="T38" s="23">
        <v>-2511</v>
      </c>
      <c r="U38" s="65">
        <f>IFERROR(T38/S38-1,0)</f>
        <v>8.0000000000000071E-2</v>
      </c>
      <c r="V38" s="92">
        <f>T38-S38</f>
        <v>-186</v>
      </c>
      <c r="W38" s="23">
        <v>-2416</v>
      </c>
      <c r="X38" s="23">
        <v>-2942</v>
      </c>
      <c r="Y38" s="58">
        <f>X38/W38-1</f>
        <v>0.2177152317880795</v>
      </c>
      <c r="Z38" s="92">
        <f t="shared" ref="Z38:Z50" si="37">X38-W38</f>
        <v>-526</v>
      </c>
      <c r="AA38" s="23">
        <v>-2421</v>
      </c>
      <c r="AB38" s="23">
        <v>-2648</v>
      </c>
      <c r="AC38" s="58">
        <f>AB38/AA38-1</f>
        <v>9.3762907889301861E-2</v>
      </c>
      <c r="AD38" s="92">
        <f t="shared" ref="AD38:AD43" si="38">AB38-AA38</f>
        <v>-227</v>
      </c>
      <c r="AE38" s="23">
        <f t="shared" ref="AE38:AE43" si="39">O38+S38+W38+AA38</f>
        <v>-9580</v>
      </c>
      <c r="AF38" s="23">
        <f>P38+T38+X38+AB38</f>
        <v>-10537</v>
      </c>
      <c r="AG38" s="58">
        <f>IFERROR(AF38/AE38-1,0)</f>
        <v>9.9895615866388399E-2</v>
      </c>
      <c r="AH38" s="92">
        <f>AF38-AE38</f>
        <v>-957</v>
      </c>
    </row>
    <row r="39" spans="1:34">
      <c r="A39" s="329" t="s">
        <v>491</v>
      </c>
      <c r="B39" s="320"/>
      <c r="C39" s="377">
        <v>7189</v>
      </c>
      <c r="D39" s="378">
        <v>11074</v>
      </c>
      <c r="E39" s="378">
        <v>13116</v>
      </c>
      <c r="F39" s="23">
        <v>16594.183259999998</v>
      </c>
      <c r="G39" s="23">
        <v>39829.427649999998</v>
      </c>
      <c r="H39" s="378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4183.9720799999986</v>
      </c>
      <c r="P39" s="23">
        <v>3151.5088500000002</v>
      </c>
      <c r="Q39" s="65">
        <f>IFERROR(P39/O39-1,0)</f>
        <v>-0.24676628100252496</v>
      </c>
      <c r="R39" s="92">
        <f>P39-O39</f>
        <v>-1032.4632299999985</v>
      </c>
      <c r="S39" s="23">
        <v>4283.6144100000001</v>
      </c>
      <c r="T39" s="23">
        <v>6655.9331000000011</v>
      </c>
      <c r="U39" s="65">
        <f>IFERROR(T39/S39-1,0)</f>
        <v>0.55381237967214725</v>
      </c>
      <c r="V39" s="92">
        <f>T39-S39</f>
        <v>2372.318690000001</v>
      </c>
      <c r="W39" s="23">
        <v>4008.8666599999997</v>
      </c>
      <c r="X39" s="23">
        <v>5374.6025400000017</v>
      </c>
      <c r="Y39" s="58">
        <f>X39/W39-1</f>
        <v>0.34067879922950639</v>
      </c>
      <c r="Z39" s="92">
        <f t="shared" si="37"/>
        <v>1365.735880000002</v>
      </c>
      <c r="AA39" s="23">
        <v>3531.1506099999988</v>
      </c>
      <c r="AB39" s="23">
        <v>14851.395950000002</v>
      </c>
      <c r="AC39" s="58">
        <f>AB39/AA39-1</f>
        <v>3.2058234242237562</v>
      </c>
      <c r="AD39" s="92">
        <f t="shared" si="38"/>
        <v>11320.245340000003</v>
      </c>
      <c r="AE39" s="23">
        <f t="shared" si="39"/>
        <v>16007.603759999996</v>
      </c>
      <c r="AF39" s="23">
        <f t="shared" ref="AF39:AF43" si="40">P39+T39+X39+AB39</f>
        <v>30033.440440000006</v>
      </c>
      <c r="AG39" s="58">
        <f>IFERROR(AF39/AE39-1,0)</f>
        <v>0.87619839235700891</v>
      </c>
      <c r="AH39" s="92">
        <f>AF39-AE39</f>
        <v>14025.836680000009</v>
      </c>
    </row>
    <row r="40" spans="1:34">
      <c r="A40" s="329" t="s">
        <v>492</v>
      </c>
      <c r="B40" s="320"/>
      <c r="C40" s="377">
        <v>9403</v>
      </c>
      <c r="D40" s="377">
        <v>8960</v>
      </c>
      <c r="E40" s="377">
        <v>10648.179258574701</v>
      </c>
      <c r="F40" s="23">
        <v>14081.99249759946</v>
      </c>
      <c r="G40" s="23">
        <v>17594.58786</v>
      </c>
      <c r="H40" s="378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3497.0078448766808</v>
      </c>
      <c r="P40" s="23">
        <v>3271.5946142935682</v>
      </c>
      <c r="Q40" s="65">
        <f t="shared" ref="Q40:Q42" si="41">IFERROR(P40/O40-1,0)</f>
        <v>-6.4458886162739426E-2</v>
      </c>
      <c r="R40" s="92">
        <f t="shared" ref="R40:R43" si="42">P40-O40</f>
        <v>-225.41323058311264</v>
      </c>
      <c r="S40" s="23">
        <v>3665.257867152</v>
      </c>
      <c r="T40" s="23">
        <v>3124.345991997342</v>
      </c>
      <c r="U40" s="65">
        <f t="shared" ref="U40:U42" si="43">IFERROR(T40/S40-1,0)</f>
        <v>-0.14757812267516135</v>
      </c>
      <c r="V40" s="92">
        <f t="shared" ref="V40:V43" si="44">T40-S40</f>
        <v>-540.91187515465799</v>
      </c>
      <c r="W40" s="23">
        <v>3701.469014561761</v>
      </c>
      <c r="X40" s="23">
        <v>3272.279457282315</v>
      </c>
      <c r="Y40" s="58">
        <f>X40/W40-1</f>
        <v>-0.11595114144978469</v>
      </c>
      <c r="Z40" s="92">
        <f t="shared" si="37"/>
        <v>-429.18955727944603</v>
      </c>
      <c r="AA40" s="23">
        <v>3769.8496323971954</v>
      </c>
      <c r="AB40" s="23">
        <v>3701.6824100627505</v>
      </c>
      <c r="AC40" s="58">
        <f>AB40/AA40-1</f>
        <v>-1.8082212549973331E-2</v>
      </c>
      <c r="AD40" s="92">
        <f t="shared" si="38"/>
        <v>-68.167222334444887</v>
      </c>
      <c r="AE40" s="23">
        <f t="shared" si="39"/>
        <v>14633.584358987637</v>
      </c>
      <c r="AF40" s="23">
        <f t="shared" si="40"/>
        <v>13369.902473635977</v>
      </c>
      <c r="AG40" s="58">
        <f t="shared" ref="AG40:AG42" si="45">IFERROR(AF40/AE40-1,0)</f>
        <v>-8.635491171208054E-2</v>
      </c>
      <c r="AH40" s="92">
        <f t="shared" ref="AH40:AH43" si="46">AF40-AE40</f>
        <v>-1263.6818853516597</v>
      </c>
    </row>
    <row r="41" spans="1:34">
      <c r="A41" s="329" t="s">
        <v>481</v>
      </c>
      <c r="B41" s="320"/>
      <c r="C41" s="377">
        <v>-9288</v>
      </c>
      <c r="D41" s="377">
        <v>-3374</v>
      </c>
      <c r="E41" s="377">
        <v>-29310</v>
      </c>
      <c r="F41" s="23">
        <v>-40568.457139999999</v>
      </c>
      <c r="G41" s="23">
        <v>-58735.880399999995</v>
      </c>
      <c r="H41" s="378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-7950.8164299999989</v>
      </c>
      <c r="P41" s="23">
        <v>-1367.2563799999998</v>
      </c>
      <c r="Q41" s="65">
        <f t="shared" si="41"/>
        <v>-0.82803572538273285</v>
      </c>
      <c r="R41" s="92">
        <f t="shared" si="42"/>
        <v>6583.5600499999991</v>
      </c>
      <c r="S41" s="23">
        <v>-7585.3264700000018</v>
      </c>
      <c r="T41" s="23">
        <v>-3450.2781800000012</v>
      </c>
      <c r="U41" s="65">
        <f t="shared" si="43"/>
        <v>-0.5451378139562133</v>
      </c>
      <c r="V41" s="92">
        <f t="shared" si="44"/>
        <v>4135.0482900000006</v>
      </c>
      <c r="W41" s="23">
        <v>-7588.1760299999996</v>
      </c>
      <c r="X41" s="23">
        <v>-8572.800849999996</v>
      </c>
      <c r="Y41" s="58">
        <f>X41/W41-1</f>
        <v>0.12975777263300992</v>
      </c>
      <c r="Z41" s="92">
        <f t="shared" si="37"/>
        <v>-984.62481999999636</v>
      </c>
      <c r="AA41" s="23">
        <v>-4000.8448400000016</v>
      </c>
      <c r="AB41" s="23">
        <v>-11677.025309999999</v>
      </c>
      <c r="AC41" s="58">
        <f>AB41/AA41-1</f>
        <v>1.9186398815706123</v>
      </c>
      <c r="AD41" s="92">
        <f t="shared" si="38"/>
        <v>-7676.1804699999975</v>
      </c>
      <c r="AE41" s="23">
        <f t="shared" si="39"/>
        <v>-27125.163770000003</v>
      </c>
      <c r="AF41" s="23">
        <f t="shared" si="40"/>
        <v>-25067.360719999997</v>
      </c>
      <c r="AG41" s="58">
        <f t="shared" si="45"/>
        <v>-7.5863248880211454E-2</v>
      </c>
      <c r="AH41" s="92">
        <f t="shared" si="46"/>
        <v>2057.8030500000059</v>
      </c>
    </row>
    <row r="42" spans="1:34">
      <c r="A42" s="329" t="s">
        <v>493</v>
      </c>
      <c r="B42" s="320"/>
      <c r="C42" s="378">
        <v>-2070</v>
      </c>
      <c r="D42" s="379">
        <v>-6459</v>
      </c>
      <c r="E42" s="379">
        <v>-7106.2640999999985</v>
      </c>
      <c r="F42" s="23">
        <v>-7079.9619980000007</v>
      </c>
      <c r="G42" s="23">
        <v>-7222.3714499999996</v>
      </c>
      <c r="H42" s="378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-997.18193000000008</v>
      </c>
      <c r="P42" s="23">
        <f>P31</f>
        <v>-724.82547541100007</v>
      </c>
      <c r="Q42" s="65">
        <f t="shared" si="41"/>
        <v>-0.27312614317930928</v>
      </c>
      <c r="R42" s="92">
        <f t="shared" si="42"/>
        <v>272.35645458900001</v>
      </c>
      <c r="S42" s="23">
        <v>-1314.1210499999997</v>
      </c>
      <c r="T42" s="23">
        <v>-1726.7003300000001</v>
      </c>
      <c r="U42" s="65">
        <f t="shared" si="43"/>
        <v>0.31395835261903793</v>
      </c>
      <c r="V42" s="92">
        <f t="shared" si="44"/>
        <v>-412.57928000000038</v>
      </c>
      <c r="W42" s="23">
        <v>-411.75785528400002</v>
      </c>
      <c r="X42" s="23">
        <v>-2756.4472499999997</v>
      </c>
      <c r="Y42" s="58"/>
      <c r="Z42" s="92">
        <f t="shared" si="37"/>
        <v>-2344.6893947159997</v>
      </c>
      <c r="AA42" s="23">
        <v>102.30545367100012</v>
      </c>
      <c r="AB42" s="23">
        <v>-6312.8740799999996</v>
      </c>
      <c r="AC42" s="58"/>
      <c r="AD42" s="92">
        <f t="shared" si="38"/>
        <v>-6415.1795336710002</v>
      </c>
      <c r="AE42" s="23">
        <f t="shared" si="39"/>
        <v>-2620.7553816129998</v>
      </c>
      <c r="AF42" s="23">
        <f t="shared" si="40"/>
        <v>-11520.847135410999</v>
      </c>
      <c r="AG42" s="58">
        <f t="shared" si="45"/>
        <v>3.3960024717454731</v>
      </c>
      <c r="AH42" s="92">
        <f t="shared" si="46"/>
        <v>-8900.0917537979985</v>
      </c>
    </row>
    <row r="43" spans="1:34">
      <c r="A43" s="329" t="s">
        <v>494</v>
      </c>
      <c r="B43" s="320"/>
      <c r="C43" s="377">
        <v>-10855</v>
      </c>
      <c r="D43" s="377">
        <v>-11196</v>
      </c>
      <c r="E43" s="377">
        <v>-4178</v>
      </c>
      <c r="F43" s="23">
        <v>-1908.3374199999998</v>
      </c>
      <c r="G43" s="23">
        <v>-1818.1681300000002</v>
      </c>
      <c r="H43" s="378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573.66815999999994</v>
      </c>
      <c r="P43" s="23">
        <f>P32</f>
        <v>-2805.6748700000003</v>
      </c>
      <c r="Q43" s="65">
        <f>IFERROR(P43/O43-1,0)</f>
        <v>-5.8907627538540757</v>
      </c>
      <c r="R43" s="92">
        <f t="shared" si="42"/>
        <v>-3379.34303</v>
      </c>
      <c r="S43" s="23">
        <v>-768.41834000000017</v>
      </c>
      <c r="T43" s="23">
        <v>-3667.79448</v>
      </c>
      <c r="U43" s="65">
        <f>IFERROR(T43/S43-1,0)</f>
        <v>3.7731740499582545</v>
      </c>
      <c r="V43" s="92">
        <f t="shared" si="44"/>
        <v>-2899.3761399999999</v>
      </c>
      <c r="W43" s="23">
        <v>-1863.3668</v>
      </c>
      <c r="X43" s="23">
        <v>930.34099999999989</v>
      </c>
      <c r="Y43" s="58">
        <f>X43/W43-1</f>
        <v>-1.4992795836010386</v>
      </c>
      <c r="Z43" s="92">
        <f t="shared" si="37"/>
        <v>2793.7078000000001</v>
      </c>
      <c r="AA43" s="23">
        <v>-4339.7007000000003</v>
      </c>
      <c r="AB43" s="23">
        <v>-3204.5039200000001</v>
      </c>
      <c r="AC43" s="58">
        <f>AB43/AA43-1</f>
        <v>-0.26158411800150183</v>
      </c>
      <c r="AD43" s="92">
        <f t="shared" si="38"/>
        <v>1135.1967800000002</v>
      </c>
      <c r="AE43" s="23">
        <f t="shared" si="39"/>
        <v>-6397.8176800000001</v>
      </c>
      <c r="AF43" s="23">
        <f t="shared" si="40"/>
        <v>-8747.6322700000019</v>
      </c>
      <c r="AG43" s="58">
        <f>IFERROR(AF43/AE43-1,0)</f>
        <v>0.36728376886163505</v>
      </c>
      <c r="AH43" s="92">
        <f t="shared" si="46"/>
        <v>-2349.8145900000018</v>
      </c>
    </row>
    <row r="44" spans="1:34">
      <c r="A44" s="314" t="s">
        <v>53</v>
      </c>
      <c r="B44" s="315"/>
      <c r="C44" s="370">
        <f>C35-SUM(C38:C43)</f>
        <v>97725</v>
      </c>
      <c r="D44" s="370">
        <f t="shared" ref="D44:L44" si="47">D35-SUM(D38:D43)</f>
        <v>70184</v>
      </c>
      <c r="E44" s="370">
        <f t="shared" si="47"/>
        <v>57951.084841425298</v>
      </c>
      <c r="F44" s="370">
        <f t="shared" si="47"/>
        <v>78256.921220400545</v>
      </c>
      <c r="G44" s="370">
        <f t="shared" si="47"/>
        <v>46396.404469999994</v>
      </c>
      <c r="H44" s="370">
        <f t="shared" si="47"/>
        <v>22959.628080100942</v>
      </c>
      <c r="I44" s="370">
        <f t="shared" si="47"/>
        <v>140.88288430401917</v>
      </c>
      <c r="J44" s="370">
        <f t="shared" si="47"/>
        <v>8375.8018714157861</v>
      </c>
      <c r="K44" s="370">
        <f t="shared" si="47"/>
        <v>-114404.52688279217</v>
      </c>
      <c r="L44" s="370">
        <f t="shared" si="47"/>
        <v>1433</v>
      </c>
      <c r="M44" s="370">
        <v>59518.578614169382</v>
      </c>
      <c r="N44" s="370">
        <v>65350.858000146785</v>
      </c>
      <c r="O44" s="27">
        <f>O35-SUM(O38:O43)</f>
        <v>6119.1464193069141</v>
      </c>
      <c r="P44" s="8">
        <f>P35-SUM(P38:P43)</f>
        <v>6780.8256323528021</v>
      </c>
      <c r="Q44" s="61">
        <f>IFERROR(P44/O44-1,0)</f>
        <v>0.10813260015452175</v>
      </c>
      <c r="R44" s="91">
        <f>P44-O44</f>
        <v>661.67921304588799</v>
      </c>
      <c r="S44" s="8">
        <v>19139.613855696</v>
      </c>
      <c r="T44" s="8">
        <v>21646.587116887422</v>
      </c>
      <c r="U44" s="61">
        <f>IFERROR(T44/S44-1,0)</f>
        <v>0.1309834816988924</v>
      </c>
      <c r="V44" s="91">
        <f>T44-S44</f>
        <v>2506.9732611914224</v>
      </c>
      <c r="W44" s="8">
        <f>W35-SUM(W38:W43)</f>
        <v>17554.162900722211</v>
      </c>
      <c r="X44" s="8">
        <v>17575.017474441287</v>
      </c>
      <c r="Y44" s="61">
        <f>IFERROR(X44/W44-1,0)</f>
        <v>1.1880129993677713E-3</v>
      </c>
      <c r="Z44" s="91">
        <f>X44-W44</f>
        <v>20.854573719076143</v>
      </c>
      <c r="AA44" s="8">
        <f>AA35-SUM(AA38:AA43)</f>
        <v>28481.823256972948</v>
      </c>
      <c r="AB44" s="8">
        <f>AB35-SUM(AB38:AB43)</f>
        <v>31300.599064872145</v>
      </c>
      <c r="AC44" s="61">
        <f>IFERROR(AB44/AA44-1,0)</f>
        <v>9.8967533871241908E-2</v>
      </c>
      <c r="AD44" s="91">
        <f>AB44-AA44</f>
        <v>2818.7758078991974</v>
      </c>
      <c r="AE44" s="8">
        <f>AE35-SUM(AE38:AE43)</f>
        <v>71294.746432698041</v>
      </c>
      <c r="AF44" s="8">
        <f>AF35-SUM(AF38:AF43)</f>
        <v>77303.925824260077</v>
      </c>
      <c r="AG44" s="61">
        <f>IFERROR(AF44/AE44-1,0)</f>
        <v>8.4286426311014129E-2</v>
      </c>
      <c r="AH44" s="91">
        <f>AF44-AE44</f>
        <v>6009.1793915620365</v>
      </c>
    </row>
    <row r="45" spans="1:34">
      <c r="A45" s="346" t="s">
        <v>495</v>
      </c>
      <c r="B45" s="349"/>
      <c r="C45" s="380">
        <v>22621</v>
      </c>
      <c r="D45" s="380">
        <v>1706.677077851524</v>
      </c>
      <c r="E45" s="380">
        <v>-799.577</v>
      </c>
      <c r="F45" s="23">
        <v>-1206.526360097015</v>
      </c>
      <c r="G45" s="23">
        <v>-63.302908076515223</v>
      </c>
      <c r="H45" s="380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-509</v>
      </c>
      <c r="P45" s="23">
        <v>-584</v>
      </c>
      <c r="Q45" s="65">
        <f>IFERROR(P45/O45-1,0)</f>
        <v>0.1473477406679764</v>
      </c>
      <c r="R45" s="92">
        <f t="shared" ref="R45:R51" si="48">P45-O45</f>
        <v>-75</v>
      </c>
      <c r="S45" s="23">
        <v>-668.92100000000005</v>
      </c>
      <c r="T45" s="23">
        <v>-647</v>
      </c>
      <c r="U45" s="65">
        <f>IFERROR(T45/S45-1,0)</f>
        <v>-3.2770685925542886E-2</v>
      </c>
      <c r="V45" s="92">
        <f t="shared" ref="V45:V51" si="49">T45-S45</f>
        <v>21.921000000000049</v>
      </c>
      <c r="W45" s="23">
        <v>-829</v>
      </c>
      <c r="X45" s="23">
        <v>-380.59745000000004</v>
      </c>
      <c r="Y45" s="58">
        <f>X45/W45-1</f>
        <v>-0.54089571773220746</v>
      </c>
      <c r="Z45" s="92">
        <f t="shared" si="37"/>
        <v>448.40254999999996</v>
      </c>
      <c r="AA45" s="23">
        <v>-798.61509000000001</v>
      </c>
      <c r="AB45" s="23">
        <v>-172.41657000000001</v>
      </c>
      <c r="AC45" s="58">
        <f>AB45/AA45-1</f>
        <v>-0.78410554451206271</v>
      </c>
      <c r="AD45" s="92">
        <f t="shared" ref="AD45:AD50" si="50">AB45-AA45</f>
        <v>626.19852000000003</v>
      </c>
      <c r="AE45" s="23">
        <f t="shared" ref="AE45:AE51" si="51">O45+S45+W45+AA45</f>
        <v>-2805.5360900000001</v>
      </c>
      <c r="AF45" s="23">
        <f>P45+T45+X45+AB45</f>
        <v>-1784.0140200000001</v>
      </c>
      <c r="AG45" s="58">
        <f>IFERROR(AF45/AE45-1,0)</f>
        <v>-0.36410940270599046</v>
      </c>
      <c r="AH45" s="92">
        <f t="shared" ref="AH45:AH50" si="52">AF45-AE45</f>
        <v>1021.52207</v>
      </c>
    </row>
    <row r="46" spans="1:34">
      <c r="A46" s="347" t="s">
        <v>496</v>
      </c>
      <c r="B46" s="348"/>
      <c r="C46" s="380">
        <v>7150</v>
      </c>
      <c r="D46" s="380">
        <v>-1159.8243400000001</v>
      </c>
      <c r="E46" s="380">
        <v>-11678.14939</v>
      </c>
      <c r="F46" s="23">
        <v>1037.0412756000001</v>
      </c>
      <c r="G46" s="23">
        <v>-19758.476630000001</v>
      </c>
      <c r="H46" s="380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0</v>
      </c>
      <c r="P46" s="23">
        <v>0</v>
      </c>
      <c r="Q46" s="65">
        <f>IFERROR(P46/O46-1,0)</f>
        <v>0</v>
      </c>
      <c r="R46" s="92">
        <f t="shared" si="48"/>
        <v>0</v>
      </c>
      <c r="S46" s="23"/>
      <c r="T46" s="23"/>
      <c r="U46" s="65">
        <f>IFERROR(T46/S46-1,0)</f>
        <v>0</v>
      </c>
      <c r="V46" s="92">
        <f t="shared" si="49"/>
        <v>0</v>
      </c>
      <c r="W46" s="23">
        <v>1653</v>
      </c>
      <c r="X46" s="23"/>
      <c r="Y46" s="58">
        <f>IFERROR(X46/W46-1,0)</f>
        <v>-1</v>
      </c>
      <c r="Z46" s="92">
        <f t="shared" si="37"/>
        <v>-1653</v>
      </c>
      <c r="AA46" s="23">
        <v>0</v>
      </c>
      <c r="AB46" s="23">
        <v>0</v>
      </c>
      <c r="AC46" s="58">
        <f>IFERROR(AB46/AA46-1,0)</f>
        <v>0</v>
      </c>
      <c r="AD46" s="92">
        <f t="shared" si="50"/>
        <v>0</v>
      </c>
      <c r="AE46" s="23">
        <f t="shared" si="51"/>
        <v>1653</v>
      </c>
      <c r="AF46" s="23">
        <f t="shared" ref="AF46:AF51" si="53">P46+T46+X46+AB46</f>
        <v>0</v>
      </c>
      <c r="AG46" s="58">
        <f>IFERROR(AF46/AE46-1,0)</f>
        <v>-1</v>
      </c>
      <c r="AH46" s="92">
        <f t="shared" si="52"/>
        <v>-1653</v>
      </c>
    </row>
    <row r="47" spans="1:34">
      <c r="A47" s="347" t="s">
        <v>497</v>
      </c>
      <c r="B47" s="348"/>
      <c r="C47" s="377">
        <v>0</v>
      </c>
      <c r="D47" s="380">
        <v>0</v>
      </c>
      <c r="E47" s="377">
        <v>-743.67</v>
      </c>
      <c r="F47" s="23">
        <v>-1509.1870000000001</v>
      </c>
      <c r="G47" s="23">
        <v>5375.1013999999996</v>
      </c>
      <c r="H47" s="380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65">
        <f>IFERROR(P47/O47-1,0)</f>
        <v>0</v>
      </c>
      <c r="R47" s="92">
        <f t="shared" si="48"/>
        <v>0</v>
      </c>
      <c r="S47" s="23"/>
      <c r="T47" s="23"/>
      <c r="U47" s="65">
        <f>IFERROR(T47/S47-1,0)</f>
        <v>0</v>
      </c>
      <c r="V47" s="92">
        <f t="shared" si="49"/>
        <v>0</v>
      </c>
      <c r="W47" s="23"/>
      <c r="X47" s="23"/>
      <c r="Y47" s="58">
        <f>IFERROR(X47/W47-1,0)</f>
        <v>0</v>
      </c>
      <c r="Z47" s="92">
        <f t="shared" si="37"/>
        <v>0</v>
      </c>
      <c r="AA47" s="23">
        <v>0</v>
      </c>
      <c r="AB47" s="23">
        <v>0</v>
      </c>
      <c r="AC47" s="58">
        <f>IFERROR(AB47/AA47-1,0)</f>
        <v>0</v>
      </c>
      <c r="AD47" s="92">
        <f t="shared" si="50"/>
        <v>0</v>
      </c>
      <c r="AE47" s="23">
        <f t="shared" si="51"/>
        <v>0</v>
      </c>
      <c r="AF47" s="23">
        <f t="shared" si="53"/>
        <v>0</v>
      </c>
      <c r="AG47" s="58">
        <f>IFERROR(AF47/AE47-1,0)</f>
        <v>0</v>
      </c>
      <c r="AH47" s="92">
        <f t="shared" si="52"/>
        <v>0</v>
      </c>
    </row>
    <row r="48" spans="1:34">
      <c r="A48" s="347" t="s">
        <v>498</v>
      </c>
      <c r="B48" s="348"/>
      <c r="C48" s="377">
        <v>0</v>
      </c>
      <c r="D48" s="380">
        <v>0</v>
      </c>
      <c r="E48" s="377">
        <v>-4554.58554</v>
      </c>
      <c r="F48" s="23">
        <v>-2635.1899100000001</v>
      </c>
      <c r="G48" s="23">
        <v>-771.45402000000001</v>
      </c>
      <c r="H48" s="380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65">
        <f t="shared" ref="Q48:Q51" si="54">IFERROR(P48/O48-1,0)</f>
        <v>0</v>
      </c>
      <c r="R48" s="92">
        <f t="shared" si="48"/>
        <v>0</v>
      </c>
      <c r="S48" s="23"/>
      <c r="T48" s="23"/>
      <c r="U48" s="65">
        <f t="shared" ref="U48:U51" si="55">IFERROR(T48/S48-1,0)</f>
        <v>0</v>
      </c>
      <c r="V48" s="92">
        <f t="shared" si="49"/>
        <v>0</v>
      </c>
      <c r="W48" s="23"/>
      <c r="X48" s="23"/>
      <c r="Y48" s="58" t="e">
        <f>X48/W48-1</f>
        <v>#DIV/0!</v>
      </c>
      <c r="Z48" s="92">
        <f t="shared" si="37"/>
        <v>0</v>
      </c>
      <c r="AA48" s="23">
        <v>0</v>
      </c>
      <c r="AB48" s="23">
        <v>0</v>
      </c>
      <c r="AC48" s="58" t="e">
        <f>AB48/AA48-1</f>
        <v>#DIV/0!</v>
      </c>
      <c r="AD48" s="92">
        <f t="shared" si="50"/>
        <v>0</v>
      </c>
      <c r="AE48" s="23">
        <f t="shared" si="51"/>
        <v>0</v>
      </c>
      <c r="AF48" s="23">
        <f t="shared" si="53"/>
        <v>0</v>
      </c>
      <c r="AG48" s="58">
        <f t="shared" ref="AG48:AG50" si="56">IFERROR(AF48/AE48-1,0)</f>
        <v>0</v>
      </c>
      <c r="AH48" s="92">
        <f t="shared" si="52"/>
        <v>0</v>
      </c>
    </row>
    <row r="49" spans="1:34">
      <c r="A49" s="329" t="s">
        <v>499</v>
      </c>
      <c r="B49" s="320"/>
      <c r="C49" s="377">
        <v>-877</v>
      </c>
      <c r="D49" s="380">
        <v>0</v>
      </c>
      <c r="E49" s="377">
        <v>0</v>
      </c>
      <c r="F49" s="23">
        <v>0</v>
      </c>
      <c r="G49" s="23">
        <v>0</v>
      </c>
      <c r="H49" s="380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65">
        <f t="shared" si="54"/>
        <v>0</v>
      </c>
      <c r="R49" s="92">
        <f t="shared" si="48"/>
        <v>0</v>
      </c>
      <c r="S49" s="23"/>
      <c r="T49" s="23"/>
      <c r="U49" s="65">
        <f t="shared" si="55"/>
        <v>0</v>
      </c>
      <c r="V49" s="92">
        <f t="shared" si="49"/>
        <v>0</v>
      </c>
      <c r="W49" s="23"/>
      <c r="X49" s="23"/>
      <c r="Y49" s="58" t="e">
        <f>X49/W49-1</f>
        <v>#DIV/0!</v>
      </c>
      <c r="Z49" s="92">
        <f t="shared" si="37"/>
        <v>0</v>
      </c>
      <c r="AA49" s="23">
        <v>0</v>
      </c>
      <c r="AB49" s="23">
        <v>0</v>
      </c>
      <c r="AC49" s="58" t="e">
        <f>AB49/AA49-1</f>
        <v>#DIV/0!</v>
      </c>
      <c r="AD49" s="92">
        <f t="shared" si="50"/>
        <v>0</v>
      </c>
      <c r="AE49" s="23">
        <f t="shared" si="51"/>
        <v>0</v>
      </c>
      <c r="AF49" s="23">
        <f t="shared" si="53"/>
        <v>0</v>
      </c>
      <c r="AG49" s="58">
        <f t="shared" si="56"/>
        <v>0</v>
      </c>
      <c r="AH49" s="92">
        <f t="shared" si="52"/>
        <v>0</v>
      </c>
    </row>
    <row r="50" spans="1:34">
      <c r="A50" s="347" t="s">
        <v>500</v>
      </c>
      <c r="B50" s="348"/>
      <c r="C50" s="377">
        <v>-9892</v>
      </c>
      <c r="D50" s="380">
        <v>-2424.9584500000001</v>
      </c>
      <c r="E50" s="377">
        <v>-6241.5990000000002</v>
      </c>
      <c r="F50" s="23">
        <v>-3830.0338200000001</v>
      </c>
      <c r="G50" s="23">
        <v>-4099.9849999999997</v>
      </c>
      <c r="H50" s="380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-2846.2071441835888</v>
      </c>
      <c r="P50" s="23">
        <v>-2503.0944028940721</v>
      </c>
      <c r="Q50" s="65">
        <f t="shared" si="54"/>
        <v>-0.12055086784202973</v>
      </c>
      <c r="R50" s="92">
        <f t="shared" si="48"/>
        <v>343.11274128951663</v>
      </c>
      <c r="S50" s="23">
        <v>-3658.3797271519998</v>
      </c>
      <c r="T50" s="23">
        <v>-3293.1901219973424</v>
      </c>
      <c r="U50" s="65">
        <f t="shared" si="55"/>
        <v>-9.98227719348731E-2</v>
      </c>
      <c r="V50" s="92">
        <f t="shared" si="49"/>
        <v>365.18960515465733</v>
      </c>
      <c r="W50" s="23">
        <v>-3330.5140532953942</v>
      </c>
      <c r="X50" s="23">
        <v>-3098.1284972823141</v>
      </c>
      <c r="Y50" s="58">
        <f>X50/W50-1</f>
        <v>-6.9774681113609183E-2</v>
      </c>
      <c r="Z50" s="92">
        <f t="shared" si="37"/>
        <v>232.38555601308008</v>
      </c>
      <c r="AA50" s="23">
        <v>-4440.2489485535862</v>
      </c>
      <c r="AB50" s="23">
        <v>-5198.7876651896295</v>
      </c>
      <c r="AC50" s="58">
        <f>AB50/AA50-1</f>
        <v>0.17083247480597641</v>
      </c>
      <c r="AD50" s="92">
        <f t="shared" si="50"/>
        <v>-758.53871663604332</v>
      </c>
      <c r="AE50" s="23">
        <f t="shared" si="51"/>
        <v>-14275.349873184568</v>
      </c>
      <c r="AF50" s="23">
        <f t="shared" si="53"/>
        <v>-14093.200687363358</v>
      </c>
      <c r="AG50" s="58">
        <f t="shared" si="56"/>
        <v>-1.2759700283309194E-2</v>
      </c>
      <c r="AH50" s="92">
        <f t="shared" si="52"/>
        <v>182.14918582121027</v>
      </c>
    </row>
    <row r="51" spans="1:34">
      <c r="A51" s="347" t="s">
        <v>501</v>
      </c>
      <c r="B51" s="350"/>
      <c r="C51" s="381">
        <v>0</v>
      </c>
      <c r="D51" s="381">
        <v>-8482.2513770875557</v>
      </c>
      <c r="E51" s="381">
        <v>-12648.48400233217</v>
      </c>
      <c r="F51" s="23">
        <v>-15161.074877599462</v>
      </c>
      <c r="G51" s="23">
        <v>-18342.442920000001</v>
      </c>
      <c r="H51" s="382">
        <v>-16796.437820203028</v>
      </c>
      <c r="I51" s="340"/>
      <c r="J51" s="340">
        <v>28336.202229999999</v>
      </c>
      <c r="K51" s="340">
        <v>-110584.390763918</v>
      </c>
      <c r="L51" s="340">
        <v>0</v>
      </c>
      <c r="M51" s="340">
        <v>0</v>
      </c>
      <c r="N51" s="340">
        <v>0</v>
      </c>
      <c r="O51" s="340">
        <v>0</v>
      </c>
      <c r="P51" s="340">
        <v>0</v>
      </c>
      <c r="Q51" s="341">
        <f t="shared" si="54"/>
        <v>0</v>
      </c>
      <c r="R51" s="342">
        <f t="shared" si="48"/>
        <v>0</v>
      </c>
      <c r="S51" s="340"/>
      <c r="T51" s="340"/>
      <c r="U51" s="341">
        <f t="shared" si="55"/>
        <v>0</v>
      </c>
      <c r="V51" s="342">
        <f t="shared" si="49"/>
        <v>0</v>
      </c>
      <c r="W51" s="340"/>
      <c r="X51" s="340"/>
      <c r="Y51" s="76"/>
      <c r="Z51" s="342"/>
      <c r="AA51" s="340"/>
      <c r="AB51" s="340"/>
      <c r="AC51" s="76"/>
      <c r="AD51" s="342"/>
      <c r="AE51" s="23">
        <f t="shared" si="51"/>
        <v>0</v>
      </c>
      <c r="AF51" s="23">
        <f t="shared" si="53"/>
        <v>0</v>
      </c>
      <c r="AG51" s="58">
        <f t="shared" ref="AG51" si="57">IFERROR(AF51/AE51-1,0)</f>
        <v>0</v>
      </c>
      <c r="AH51" s="92">
        <f t="shared" ref="AH51" si="58">AF51-AE51</f>
        <v>0</v>
      </c>
    </row>
    <row r="52" spans="1:34" ht="15.75" thickBot="1">
      <c r="A52" s="318" t="s">
        <v>502</v>
      </c>
      <c r="B52" s="319"/>
      <c r="C52" s="383">
        <f>C44-SUM(C45:C51)</f>
        <v>78723</v>
      </c>
      <c r="D52" s="383">
        <f>D44-SUM(D45:D51)</f>
        <v>80544.357089236029</v>
      </c>
      <c r="E52" s="383">
        <f t="shared" ref="E52:G52" si="59">E44-SUM(E45:E51)</f>
        <v>94617.149773757468</v>
      </c>
      <c r="F52" s="383">
        <f>F44-SUM(F45:F51)</f>
        <v>101561.89191249703</v>
      </c>
      <c r="G52" s="383">
        <f t="shared" si="59"/>
        <v>84056.964548076503</v>
      </c>
      <c r="H52" s="383">
        <f>H44-SUM(H45:H51)</f>
        <v>46331.677970303972</v>
      </c>
      <c r="I52" s="383">
        <f t="shared" ref="I52:L52" si="60">I44-SUM(I45:I51)</f>
        <v>22014.294035117142</v>
      </c>
      <c r="J52" s="383">
        <f t="shared" si="60"/>
        <v>7990.9613684409251</v>
      </c>
      <c r="K52" s="383">
        <f t="shared" si="60"/>
        <v>15173.008459606499</v>
      </c>
      <c r="L52" s="383">
        <f t="shared" si="60"/>
        <v>6005</v>
      </c>
      <c r="M52" s="385">
        <v>63180.4082839658</v>
      </c>
      <c r="N52" s="385">
        <v>82414.955259392445</v>
      </c>
      <c r="O52" s="95">
        <f>O44-O45-O50</f>
        <v>9474.353563490502</v>
      </c>
      <c r="P52" s="95">
        <f>P44-P45-P50</f>
        <v>9867.9200352468742</v>
      </c>
      <c r="Q52" s="64">
        <f>P52/O52-1</f>
        <v>4.1540192596673187E-2</v>
      </c>
      <c r="R52" s="94">
        <f>P52-O52</f>
        <v>393.56647175637227</v>
      </c>
      <c r="S52" s="95">
        <v>23466.914582848</v>
      </c>
      <c r="T52" s="95">
        <v>25586.777238884766</v>
      </c>
      <c r="U52" s="64">
        <f>T52/S52-1</f>
        <v>9.0334102020645624E-2</v>
      </c>
      <c r="V52" s="94">
        <f>T52-S52</f>
        <v>2119.8626560367666</v>
      </c>
      <c r="W52" s="95">
        <f>W44-SUM(W45:W50)</f>
        <v>20060.676954017606</v>
      </c>
      <c r="X52" s="95">
        <v>21053.7434217236</v>
      </c>
      <c r="Y52" s="64">
        <f>X52/W52-1</f>
        <v>4.9503138402670288E-2</v>
      </c>
      <c r="Z52" s="94">
        <f>X52-W52</f>
        <v>993.066467705994</v>
      </c>
      <c r="AA52" s="95">
        <f>AA44-SUM(AA45:AA51)</f>
        <v>33720.687295526535</v>
      </c>
      <c r="AB52" s="95">
        <f>AB44-SUM(AB45:AB51)</f>
        <v>36671.803300061772</v>
      </c>
      <c r="AC52" s="64">
        <f>AB52/AA52-1</f>
        <v>8.7516484426067409E-2</v>
      </c>
      <c r="AD52" s="94">
        <f>AB52-AA52</f>
        <v>2951.1160045352372</v>
      </c>
      <c r="AE52" s="95">
        <f>AE44-SUM(AE45:AE51)</f>
        <v>86722.632395882611</v>
      </c>
      <c r="AF52" s="95">
        <f>AF44-SUM(AF45:AF51)</f>
        <v>93181.14053162343</v>
      </c>
      <c r="AG52" s="64">
        <f>AF52/AE52-1</f>
        <v>7.447315605294591E-2</v>
      </c>
      <c r="AH52" s="94">
        <f>AF52-AE52</f>
        <v>6458.5081357408199</v>
      </c>
    </row>
    <row r="53" spans="1:34">
      <c r="A53" s="316" t="s">
        <v>503</v>
      </c>
      <c r="B53" s="316"/>
      <c r="C53" s="9">
        <f>C52/C8</f>
        <v>0.30043506468724956</v>
      </c>
      <c r="D53" s="9">
        <f t="shared" ref="D53:L53" si="61">D52/D8</f>
        <v>0.25756462483513887</v>
      </c>
      <c r="E53" s="9">
        <f t="shared" si="61"/>
        <v>0.21816477182557248</v>
      </c>
      <c r="F53" s="9">
        <f t="shared" si="61"/>
        <v>0.24565502006975018</v>
      </c>
      <c r="G53" s="9">
        <f t="shared" si="61"/>
        <v>0.21157424003965966</v>
      </c>
      <c r="H53" s="9">
        <f t="shared" si="61"/>
        <v>0.12838777434269893</v>
      </c>
      <c r="I53" s="9">
        <f t="shared" si="61"/>
        <v>6.4733453801847654E-2</v>
      </c>
      <c r="J53" s="9">
        <f t="shared" si="61"/>
        <v>2.6140207184488555E-2</v>
      </c>
      <c r="K53" s="9">
        <f t="shared" si="61"/>
        <v>4.7981491790271676E-2</v>
      </c>
      <c r="L53" s="9">
        <f t="shared" si="61"/>
        <v>2.4549545227983059E-2</v>
      </c>
      <c r="M53" s="9">
        <v>0.20095442461733248</v>
      </c>
      <c r="N53" s="9">
        <v>0.23464589777121153</v>
      </c>
      <c r="O53" s="9">
        <f>O52/O8</f>
        <v>0.14915826713693262</v>
      </c>
      <c r="P53" s="9">
        <f>P52/P8</f>
        <v>0.14349904646949727</v>
      </c>
      <c r="Q53" s="9"/>
      <c r="R53" s="54">
        <f>(P53-O53)*100</f>
        <v>-0.56592206674353496</v>
      </c>
      <c r="S53" s="9">
        <v>0.26863657437897004</v>
      </c>
      <c r="T53" s="9">
        <v>0.25700941665266125</v>
      </c>
      <c r="U53" s="9"/>
      <c r="V53" s="54">
        <f>(T53-S53)*100</f>
        <v>-1.162715772630879</v>
      </c>
      <c r="W53" s="9">
        <f>W52/W8</f>
        <v>0.24949506471407917</v>
      </c>
      <c r="X53" s="9">
        <v>0.22235820460653427</v>
      </c>
      <c r="Y53" s="9"/>
      <c r="Z53" s="54">
        <f>(X53-W53)*100</f>
        <v>-2.7136860107544902</v>
      </c>
      <c r="AA53" s="9">
        <f>AA52/AA8</f>
        <v>0.30360596310375315</v>
      </c>
      <c r="AB53" s="9">
        <f>AB52/AB8</f>
        <v>0.26714338519671776</v>
      </c>
      <c r="AC53" s="9"/>
      <c r="AD53" s="54">
        <f>(AB53-AA53)*100</f>
        <v>-3.6462577907035385</v>
      </c>
      <c r="AE53" s="9">
        <f>AE52/AE8</f>
        <v>0.25331807679648072</v>
      </c>
      <c r="AF53" s="9">
        <f>AF52/AF8</f>
        <v>0.23278989145472739</v>
      </c>
      <c r="AG53" s="9"/>
      <c r="AH53" s="54">
        <f>(AF53-AE53)*100</f>
        <v>-2.0528185341753327</v>
      </c>
    </row>
    <row r="54" spans="1:34">
      <c r="T54" s="343"/>
      <c r="X54" s="343"/>
      <c r="AB54" s="343"/>
    </row>
    <row r="55" spans="1:34">
      <c r="T55" s="343"/>
      <c r="X55" s="343"/>
      <c r="AB55" s="343"/>
    </row>
    <row r="56" spans="1:34">
      <c r="T56" s="343"/>
      <c r="X56" s="343"/>
      <c r="AB56" s="343"/>
      <c r="AE56"/>
      <c r="AF56"/>
      <c r="AG56"/>
      <c r="AH56"/>
    </row>
    <row r="57" spans="1:34">
      <c r="AE57"/>
      <c r="AF57"/>
      <c r="AG57"/>
      <c r="AH57"/>
    </row>
  </sheetData>
  <pageMargins left="0.511811024" right="0.511811024" top="0.78740157499999996" bottom="0.78740157499999996" header="0.31496062000000002" footer="0.31496062000000002"/>
  <pageSetup paperSize="9" scale="6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/>
  <dimension ref="A1:R79"/>
  <sheetViews>
    <sheetView zoomScaleNormal="100" workbookViewId="0">
      <selection activeCell="C8" sqref="C8"/>
    </sheetView>
  </sheetViews>
  <sheetFormatPr defaultRowHeight="15"/>
  <cols>
    <col min="1" max="1" width="58.5703125" customWidth="1"/>
    <col min="2" max="2" width="1.5703125" customWidth="1"/>
    <col min="3" max="3" width="10.5703125" bestFit="1" customWidth="1"/>
    <col min="4" max="4" width="1.42578125" customWidth="1"/>
    <col min="5" max="5" width="10.85546875" customWidth="1"/>
    <col min="6" max="6" width="1.5703125" customWidth="1"/>
    <col min="7" max="7" width="10.5703125" bestFit="1" customWidth="1"/>
    <col min="8" max="8" width="1.140625" customWidth="1"/>
    <col min="9" max="9" width="9.85546875" bestFit="1" customWidth="1"/>
    <col min="10" max="10" width="9.140625" hidden="1" customWidth="1"/>
    <col min="11" max="11" width="9.5703125" hidden="1" customWidth="1"/>
    <col min="12" max="12" width="11.140625" hidden="1" customWidth="1"/>
    <col min="13" max="13" width="13.140625" hidden="1" customWidth="1"/>
    <col min="14" max="14" width="15.5703125" hidden="1" customWidth="1"/>
    <col min="15" max="15" width="9.5703125" hidden="1" customWidth="1"/>
    <col min="16" max="17" width="9.140625" hidden="1" customWidth="1"/>
    <col min="18" max="18" width="9.85546875" hidden="1" customWidth="1"/>
    <col min="19" max="20" width="0" hidden="1" customWidth="1"/>
  </cols>
  <sheetData>
    <row r="1" spans="1:17">
      <c r="A1" t="s">
        <v>314</v>
      </c>
      <c r="L1" t="s">
        <v>315</v>
      </c>
    </row>
    <row r="2" spans="1:17">
      <c r="N2" t="s">
        <v>316</v>
      </c>
      <c r="O2" t="s">
        <v>317</v>
      </c>
      <c r="P2" t="s">
        <v>255</v>
      </c>
    </row>
    <row r="3" spans="1:17" ht="15.75" thickBot="1">
      <c r="A3" s="236"/>
      <c r="B3" s="237"/>
      <c r="C3" s="414" t="s">
        <v>263</v>
      </c>
      <c r="D3" s="414"/>
      <c r="E3" s="414"/>
      <c r="F3" s="237"/>
      <c r="G3" s="415" t="s">
        <v>264</v>
      </c>
      <c r="H3" s="415"/>
      <c r="I3" s="415"/>
      <c r="L3" t="s">
        <v>318</v>
      </c>
      <c r="N3" s="238">
        <v>-6461</v>
      </c>
      <c r="O3" s="239">
        <v>-11194</v>
      </c>
      <c r="P3" s="238">
        <v>-326</v>
      </c>
    </row>
    <row r="4" spans="1:17" ht="15.75" thickBot="1">
      <c r="A4" s="236"/>
      <c r="B4" s="237"/>
      <c r="C4" s="237"/>
      <c r="D4" s="240"/>
      <c r="E4" s="241"/>
      <c r="F4" s="237"/>
      <c r="G4" s="236"/>
      <c r="H4" s="240"/>
      <c r="I4" s="242"/>
      <c r="L4" t="s">
        <v>319</v>
      </c>
      <c r="N4" s="238">
        <v>-6461</v>
      </c>
      <c r="O4" s="239">
        <v>-11194</v>
      </c>
      <c r="P4" s="238">
        <v>-326</v>
      </c>
    </row>
    <row r="5" spans="1:17" ht="15.75" thickBot="1">
      <c r="A5" s="236"/>
      <c r="B5" s="237"/>
      <c r="C5" s="243">
        <v>2014</v>
      </c>
      <c r="D5" s="237"/>
      <c r="E5" s="243">
        <v>2013</v>
      </c>
      <c r="F5" s="237"/>
      <c r="G5" s="243">
        <v>2014</v>
      </c>
      <c r="H5" s="237"/>
      <c r="I5" s="243">
        <v>2013</v>
      </c>
      <c r="L5" t="s">
        <v>320</v>
      </c>
      <c r="M5" t="s">
        <v>321</v>
      </c>
      <c r="N5" s="85">
        <v>5913</v>
      </c>
      <c r="O5" s="85"/>
    </row>
    <row r="6" spans="1:17">
      <c r="A6" s="236"/>
      <c r="B6" s="237"/>
      <c r="C6" s="237"/>
      <c r="D6" s="237"/>
      <c r="E6" s="237"/>
      <c r="F6" s="237"/>
      <c r="G6" s="236"/>
      <c r="H6" s="237"/>
      <c r="I6" s="236"/>
      <c r="M6" s="244" t="s">
        <v>322</v>
      </c>
      <c r="N6" s="245">
        <f>368+79</f>
        <v>447</v>
      </c>
      <c r="O6" s="85" t="s">
        <v>323</v>
      </c>
    </row>
    <row r="7" spans="1:17">
      <c r="A7" s="246" t="s">
        <v>8</v>
      </c>
      <c r="B7" s="237"/>
      <c r="C7" s="237"/>
      <c r="D7" s="237"/>
      <c r="E7" s="237"/>
      <c r="F7" s="237"/>
      <c r="G7" s="236"/>
      <c r="H7" s="237"/>
      <c r="I7" s="236"/>
      <c r="M7" t="s">
        <v>324</v>
      </c>
      <c r="N7" s="85">
        <v>210</v>
      </c>
      <c r="O7" s="85"/>
    </row>
    <row r="8" spans="1:17">
      <c r="A8" s="247" t="s">
        <v>9</v>
      </c>
      <c r="B8" s="237"/>
      <c r="C8" s="248">
        <v>-5403</v>
      </c>
      <c r="D8" s="248"/>
      <c r="E8" s="249">
        <v>-7721</v>
      </c>
      <c r="F8" s="248"/>
      <c r="G8" s="248">
        <v>-3984</v>
      </c>
      <c r="H8" s="248"/>
      <c r="I8" s="249">
        <v>-4678</v>
      </c>
      <c r="M8" t="s">
        <v>325</v>
      </c>
      <c r="N8" s="85"/>
      <c r="O8" s="85"/>
    </row>
    <row r="9" spans="1:17">
      <c r="A9" s="236"/>
      <c r="B9" s="237"/>
      <c r="C9" s="248"/>
      <c r="D9" s="248"/>
      <c r="E9" s="248"/>
      <c r="F9" s="248"/>
      <c r="G9" s="248"/>
      <c r="H9" s="248"/>
      <c r="I9" s="248"/>
      <c r="M9" t="s">
        <v>76</v>
      </c>
      <c r="N9" s="85">
        <f>299-211</f>
        <v>88</v>
      </c>
      <c r="O9" s="85"/>
      <c r="P9" s="238">
        <f>P16+N5+N7+N9</f>
        <v>-39</v>
      </c>
    </row>
    <row r="10" spans="1:17">
      <c r="A10" s="246" t="s">
        <v>10</v>
      </c>
      <c r="B10" s="237"/>
      <c r="C10" s="248"/>
      <c r="D10" s="248"/>
      <c r="E10" s="248"/>
      <c r="F10" s="248"/>
      <c r="G10" s="248"/>
      <c r="H10" s="248"/>
      <c r="I10" s="248"/>
      <c r="N10" s="85">
        <f>SUM(N5:N9)</f>
        <v>6658</v>
      </c>
      <c r="O10" s="85"/>
      <c r="P10" s="238">
        <f>N4+N5+N7</f>
        <v>-338</v>
      </c>
      <c r="Q10" t="s">
        <v>326</v>
      </c>
    </row>
    <row r="11" spans="1:17">
      <c r="A11" s="247" t="s">
        <v>11</v>
      </c>
      <c r="B11" s="237"/>
      <c r="C11" s="248"/>
      <c r="D11" s="248"/>
      <c r="E11" s="248"/>
      <c r="F11" s="248"/>
      <c r="G11" s="248">
        <v>3006</v>
      </c>
      <c r="H11" s="248"/>
      <c r="I11" s="250">
        <v>1670</v>
      </c>
      <c r="J11" s="234" t="s">
        <v>327</v>
      </c>
      <c r="M11" t="s">
        <v>328</v>
      </c>
      <c r="N11" t="s">
        <v>329</v>
      </c>
      <c r="O11">
        <v>5838</v>
      </c>
    </row>
    <row r="12" spans="1:17">
      <c r="A12" s="247" t="s">
        <v>330</v>
      </c>
      <c r="B12" s="237"/>
      <c r="C12" s="248"/>
      <c r="D12" s="248"/>
      <c r="E12" s="248"/>
      <c r="F12" s="248"/>
      <c r="G12" s="248">
        <v>940</v>
      </c>
      <c r="H12" s="248"/>
      <c r="I12" s="251">
        <v>732</v>
      </c>
      <c r="M12" s="244" t="s">
        <v>331</v>
      </c>
      <c r="N12" s="244"/>
    </row>
    <row r="13" spans="1:17">
      <c r="A13" s="247" t="s">
        <v>12</v>
      </c>
      <c r="B13" s="237"/>
      <c r="C13" s="248"/>
      <c r="D13" s="248"/>
      <c r="E13" s="248"/>
      <c r="F13" s="248"/>
      <c r="G13" s="248">
        <v>-874</v>
      </c>
      <c r="H13" s="248"/>
      <c r="I13" s="251">
        <v>602</v>
      </c>
      <c r="M13" s="244" t="s">
        <v>332</v>
      </c>
      <c r="N13" s="244">
        <v>180</v>
      </c>
    </row>
    <row r="14" spans="1:17">
      <c r="A14" s="247" t="s">
        <v>44</v>
      </c>
      <c r="B14" s="237"/>
      <c r="C14" s="248"/>
      <c r="D14" s="248"/>
      <c r="E14" s="248"/>
      <c r="F14" s="248"/>
      <c r="G14" s="248">
        <v>971</v>
      </c>
      <c r="H14" s="248"/>
      <c r="I14" s="250">
        <v>1350</v>
      </c>
      <c r="M14" s="244" t="s">
        <v>333</v>
      </c>
      <c r="N14" s="244">
        <v>28</v>
      </c>
    </row>
    <row r="15" spans="1:17">
      <c r="A15" s="236" t="s">
        <v>13</v>
      </c>
      <c r="B15" s="237"/>
      <c r="C15" s="248"/>
      <c r="D15" s="248"/>
      <c r="E15" s="248"/>
      <c r="F15" s="248"/>
      <c r="G15" s="248">
        <v>-175</v>
      </c>
      <c r="H15" s="248"/>
      <c r="I15" s="251">
        <v>54</v>
      </c>
      <c r="M15" s="244" t="s">
        <v>334</v>
      </c>
      <c r="N15" s="244">
        <v>3</v>
      </c>
    </row>
    <row r="16" spans="1:17">
      <c r="A16" s="252" t="s">
        <v>335</v>
      </c>
      <c r="B16" s="237"/>
      <c r="C16" s="248"/>
      <c r="D16" s="248"/>
      <c r="E16" s="248"/>
      <c r="F16" s="248"/>
      <c r="G16" s="248"/>
      <c r="H16" s="248"/>
      <c r="I16" s="251"/>
      <c r="M16" s="244"/>
      <c r="N16" s="244">
        <f>SUM(N13:N15)</f>
        <v>211</v>
      </c>
      <c r="P16" s="238">
        <f>N4+N16</f>
        <v>-6250</v>
      </c>
    </row>
    <row r="17" spans="1:16">
      <c r="A17" s="247" t="s">
        <v>336</v>
      </c>
      <c r="B17" s="237"/>
      <c r="C17" s="248">
        <v>5189</v>
      </c>
      <c r="D17" s="248"/>
      <c r="E17" s="249">
        <v>7607</v>
      </c>
      <c r="F17" s="248"/>
      <c r="G17" s="248"/>
      <c r="H17" s="248"/>
      <c r="I17" s="251"/>
    </row>
    <row r="18" spans="1:16">
      <c r="A18" s="247" t="s">
        <v>14</v>
      </c>
      <c r="B18" s="237"/>
      <c r="C18" s="248"/>
      <c r="D18" s="248"/>
      <c r="E18" s="249"/>
      <c r="F18" s="248"/>
      <c r="G18" s="248">
        <v>5699</v>
      </c>
      <c r="H18" s="248"/>
      <c r="I18" s="250">
        <v>1138</v>
      </c>
      <c r="M18" t="s">
        <v>337</v>
      </c>
      <c r="N18">
        <v>-712</v>
      </c>
    </row>
    <row r="19" spans="1:16">
      <c r="A19" s="247" t="s">
        <v>338</v>
      </c>
      <c r="B19" s="237"/>
      <c r="C19" s="248"/>
      <c r="D19" s="248"/>
      <c r="E19" s="249"/>
      <c r="F19" s="248"/>
      <c r="G19" s="248">
        <v>1897</v>
      </c>
      <c r="H19" s="248"/>
      <c r="I19" s="216"/>
    </row>
    <row r="20" spans="1:16">
      <c r="A20" s="247" t="s">
        <v>15</v>
      </c>
      <c r="B20" s="237"/>
      <c r="C20" s="248"/>
      <c r="D20" s="248"/>
      <c r="E20" s="248"/>
      <c r="F20" s="248"/>
      <c r="G20" s="248">
        <v>1170</v>
      </c>
      <c r="H20" s="248"/>
      <c r="I20" s="253">
        <v>1353</v>
      </c>
      <c r="M20" t="s">
        <v>339</v>
      </c>
      <c r="N20">
        <v>3857</v>
      </c>
    </row>
    <row r="21" spans="1:16">
      <c r="A21" s="247" t="s">
        <v>16</v>
      </c>
      <c r="B21" s="237"/>
      <c r="C21" s="248"/>
      <c r="D21" s="248"/>
      <c r="E21" s="248">
        <v>1</v>
      </c>
      <c r="F21" s="248"/>
      <c r="G21" s="248">
        <v>5</v>
      </c>
      <c r="H21" s="248"/>
      <c r="I21" s="254">
        <v>71</v>
      </c>
      <c r="J21" s="234" t="s">
        <v>340</v>
      </c>
      <c r="M21" t="s">
        <v>341</v>
      </c>
      <c r="N21">
        <f>130810+22726</f>
        <v>153536</v>
      </c>
    </row>
    <row r="22" spans="1:16">
      <c r="A22" s="236"/>
      <c r="B22" s="237"/>
      <c r="C22" s="248">
        <f>SUM(C8:C21)</f>
        <v>-214</v>
      </c>
      <c r="D22" s="248"/>
      <c r="E22" s="248">
        <f>SUM(E8:E21)</f>
        <v>-113</v>
      </c>
      <c r="F22" s="248"/>
      <c r="G22" s="248">
        <f>SUM(G8:G21)</f>
        <v>8655</v>
      </c>
      <c r="H22" s="248"/>
      <c r="I22" s="248">
        <f>SUM(I8:I21)</f>
        <v>2292</v>
      </c>
      <c r="M22" t="s">
        <v>342</v>
      </c>
      <c r="N22">
        <f>14259+1043</f>
        <v>15302</v>
      </c>
    </row>
    <row r="23" spans="1:16">
      <c r="A23" s="236"/>
      <c r="B23" s="237"/>
      <c r="C23" s="248"/>
      <c r="D23" s="248"/>
      <c r="E23" s="248"/>
      <c r="F23" s="248"/>
      <c r="G23" s="248"/>
      <c r="H23" s="248"/>
      <c r="I23" s="248"/>
      <c r="M23" t="s">
        <v>343</v>
      </c>
      <c r="N23">
        <v>-5426</v>
      </c>
    </row>
    <row r="24" spans="1:16">
      <c r="A24" s="236"/>
      <c r="B24" s="237"/>
      <c r="C24" s="248"/>
      <c r="D24" s="248"/>
      <c r="E24" s="248"/>
      <c r="F24" s="248"/>
      <c r="G24" s="248"/>
      <c r="H24" s="248"/>
      <c r="I24" s="248"/>
      <c r="K24">
        <v>8171</v>
      </c>
      <c r="L24" t="s">
        <v>344</v>
      </c>
      <c r="M24" t="s">
        <v>345</v>
      </c>
      <c r="N24">
        <v>-755</v>
      </c>
    </row>
    <row r="25" spans="1:16">
      <c r="A25" s="246" t="s">
        <v>17</v>
      </c>
      <c r="B25" s="237"/>
      <c r="C25" s="248"/>
      <c r="D25" s="248"/>
      <c r="E25" s="248"/>
      <c r="F25" s="248"/>
      <c r="G25" s="248"/>
      <c r="H25" s="248"/>
      <c r="I25" s="248"/>
      <c r="K25" t="s">
        <v>346</v>
      </c>
      <c r="M25" t="s">
        <v>347</v>
      </c>
      <c r="N25">
        <v>-2464</v>
      </c>
    </row>
    <row r="26" spans="1:16">
      <c r="A26" s="247" t="s">
        <v>348</v>
      </c>
      <c r="B26" s="237"/>
      <c r="C26" s="248">
        <v>0</v>
      </c>
      <c r="D26" s="248"/>
      <c r="E26" s="248"/>
      <c r="F26" s="248"/>
      <c r="G26" s="248">
        <v>42846</v>
      </c>
      <c r="H26" s="248"/>
      <c r="I26" s="255">
        <v>15554</v>
      </c>
      <c r="J26" s="53"/>
      <c r="K26" s="85">
        <v>-27574</v>
      </c>
      <c r="L26" s="238">
        <v>15554</v>
      </c>
      <c r="M26" t="s">
        <v>76</v>
      </c>
      <c r="O26" t="s">
        <v>349</v>
      </c>
      <c r="P26" t="s">
        <v>350</v>
      </c>
    </row>
    <row r="27" spans="1:16">
      <c r="A27" s="247" t="s">
        <v>18</v>
      </c>
      <c r="B27" s="237"/>
      <c r="C27" s="248">
        <v>0</v>
      </c>
      <c r="D27" s="248"/>
      <c r="E27" s="248"/>
      <c r="F27" s="248"/>
      <c r="G27" s="248">
        <v>-21961</v>
      </c>
      <c r="H27" s="248"/>
      <c r="I27" s="255">
        <v>-34112</v>
      </c>
      <c r="J27" s="53"/>
      <c r="K27" s="85">
        <v>-32816</v>
      </c>
      <c r="L27" s="238">
        <v>-34112</v>
      </c>
      <c r="M27" t="s">
        <v>351</v>
      </c>
      <c r="O27">
        <v>83</v>
      </c>
    </row>
    <row r="28" spans="1:16">
      <c r="A28" s="247" t="s">
        <v>19</v>
      </c>
      <c r="B28" s="237"/>
      <c r="C28" s="248">
        <v>-21</v>
      </c>
      <c r="D28" s="248"/>
      <c r="E28" s="256">
        <v>-50</v>
      </c>
      <c r="F28" s="248"/>
      <c r="G28" s="248">
        <v>-755</v>
      </c>
      <c r="H28" s="248"/>
      <c r="I28" s="256">
        <v>-876</v>
      </c>
      <c r="J28" s="53"/>
      <c r="K28" s="257">
        <v>-1294</v>
      </c>
      <c r="L28" s="238">
        <v>-876</v>
      </c>
      <c r="M28" t="s">
        <v>352</v>
      </c>
      <c r="O28">
        <f>630</f>
        <v>630</v>
      </c>
    </row>
    <row r="29" spans="1:16">
      <c r="A29" s="247" t="s">
        <v>52</v>
      </c>
      <c r="B29" s="237"/>
      <c r="C29" s="248">
        <v>248</v>
      </c>
      <c r="D29" s="248"/>
      <c r="E29" s="255">
        <v>-2019</v>
      </c>
      <c r="F29" s="248"/>
      <c r="G29" s="248">
        <v>-1753</v>
      </c>
      <c r="H29" s="248"/>
      <c r="I29" s="255">
        <v>-5569</v>
      </c>
      <c r="J29" s="53"/>
      <c r="K29" s="85">
        <v>-3440</v>
      </c>
      <c r="L29" s="238">
        <v>-5569</v>
      </c>
      <c r="M29" t="s">
        <v>96</v>
      </c>
      <c r="O29">
        <v>8</v>
      </c>
    </row>
    <row r="30" spans="1:16">
      <c r="A30" s="247" t="s">
        <v>20</v>
      </c>
      <c r="B30" s="237"/>
      <c r="C30" s="248">
        <v>35</v>
      </c>
      <c r="D30" s="248"/>
      <c r="E30" s="256">
        <v>-75</v>
      </c>
      <c r="F30" s="248"/>
      <c r="G30" s="248">
        <v>5542</v>
      </c>
      <c r="H30" s="248"/>
      <c r="I30" s="255">
        <v>1512</v>
      </c>
      <c r="J30" s="53"/>
      <c r="K30" s="85">
        <f>1639+451</f>
        <v>2090</v>
      </c>
      <c r="L30" s="238">
        <v>1512</v>
      </c>
      <c r="M30" t="s">
        <v>353</v>
      </c>
      <c r="O30">
        <v>31</v>
      </c>
    </row>
    <row r="31" spans="1:16">
      <c r="A31" s="247" t="s">
        <v>354</v>
      </c>
      <c r="B31" s="237"/>
      <c r="C31" s="248">
        <v>0</v>
      </c>
      <c r="D31" s="248"/>
      <c r="E31" s="256">
        <v>3</v>
      </c>
      <c r="F31" s="248"/>
      <c r="G31" s="248">
        <v>-1893</v>
      </c>
      <c r="H31" s="248"/>
      <c r="I31" s="255">
        <v>2318</v>
      </c>
      <c r="J31" s="53"/>
      <c r="K31" s="85">
        <v>1863</v>
      </c>
      <c r="L31" s="238">
        <v>2318</v>
      </c>
      <c r="M31" t="s">
        <v>129</v>
      </c>
      <c r="O31">
        <v>315</v>
      </c>
    </row>
    <row r="32" spans="1:16">
      <c r="A32" s="247" t="s">
        <v>21</v>
      </c>
      <c r="B32" s="237"/>
      <c r="C32" s="258">
        <v>0</v>
      </c>
      <c r="D32" s="259"/>
      <c r="E32" s="260">
        <v>3</v>
      </c>
      <c r="F32" s="259"/>
      <c r="G32" s="258">
        <v>-3024</v>
      </c>
      <c r="H32" s="259"/>
      <c r="I32" s="256">
        <v>-14</v>
      </c>
      <c r="J32" s="53"/>
      <c r="K32" s="257">
        <v>3318</v>
      </c>
      <c r="L32" s="238">
        <v>-14</v>
      </c>
      <c r="M32" t="s">
        <v>355</v>
      </c>
      <c r="O32">
        <f>-86-1982</f>
        <v>-2068</v>
      </c>
    </row>
    <row r="33" spans="1:16">
      <c r="A33" s="236"/>
      <c r="B33" s="237"/>
      <c r="C33" s="248">
        <f>SUM(C22:C32)</f>
        <v>48</v>
      </c>
      <c r="D33" s="237"/>
      <c r="E33" s="248">
        <f>SUM(E22:E32)</f>
        <v>-2251</v>
      </c>
      <c r="F33" s="237"/>
      <c r="G33" s="248">
        <f>SUM(G22:G32)</f>
        <v>27657</v>
      </c>
      <c r="H33" s="237"/>
      <c r="I33" s="248">
        <f>SUM(I22:I32)</f>
        <v>-18895</v>
      </c>
      <c r="M33" t="s">
        <v>356</v>
      </c>
      <c r="O33">
        <v>-192</v>
      </c>
    </row>
    <row r="34" spans="1:16" ht="15.75" thickBot="1">
      <c r="A34" s="236"/>
      <c r="B34" s="237"/>
      <c r="C34" s="261"/>
      <c r="D34" s="237"/>
      <c r="E34" s="261"/>
      <c r="F34" s="237"/>
      <c r="G34" s="261"/>
      <c r="H34" s="237"/>
      <c r="I34" s="261"/>
      <c r="M34" t="s">
        <v>357</v>
      </c>
      <c r="O34">
        <v>-428</v>
      </c>
    </row>
    <row r="35" spans="1:16">
      <c r="A35" s="236" t="s">
        <v>358</v>
      </c>
      <c r="B35" s="237"/>
      <c r="C35" s="248"/>
      <c r="D35" s="237"/>
      <c r="E35" s="248"/>
      <c r="F35" s="237"/>
      <c r="G35" s="248">
        <f>-615+615</f>
        <v>0</v>
      </c>
      <c r="H35" s="237"/>
      <c r="I35" s="248"/>
      <c r="M35" t="s">
        <v>129</v>
      </c>
      <c r="O35">
        <f>-211+211-315</f>
        <v>-315</v>
      </c>
    </row>
    <row r="36" spans="1:16">
      <c r="A36" s="247" t="s">
        <v>22</v>
      </c>
      <c r="B36" s="237"/>
      <c r="C36" s="248"/>
      <c r="D36" s="237"/>
      <c r="E36" s="248"/>
      <c r="F36" s="248"/>
      <c r="G36" s="248">
        <v>-218</v>
      </c>
      <c r="H36" s="248"/>
      <c r="I36" s="248"/>
      <c r="L36" s="234"/>
      <c r="M36" t="s">
        <v>359</v>
      </c>
      <c r="O36">
        <v>-51</v>
      </c>
    </row>
    <row r="37" spans="1:16" ht="15.75" thickBot="1">
      <c r="A37" s="247" t="s">
        <v>23</v>
      </c>
      <c r="B37" s="237"/>
      <c r="C37" s="261"/>
      <c r="D37" s="237"/>
      <c r="E37" s="261"/>
      <c r="F37" s="261"/>
      <c r="G37" s="262"/>
      <c r="H37" s="261"/>
      <c r="I37" s="261">
        <v>-921</v>
      </c>
      <c r="J37" t="s">
        <v>360</v>
      </c>
      <c r="L37" s="257"/>
    </row>
    <row r="38" spans="1:16">
      <c r="A38" s="236"/>
      <c r="B38" s="237"/>
      <c r="C38" s="248"/>
      <c r="D38" s="237"/>
      <c r="E38" s="248"/>
      <c r="F38" s="237"/>
      <c r="G38" s="263"/>
      <c r="H38" s="237"/>
      <c r="I38" s="248"/>
    </row>
    <row r="39" spans="1:16" ht="15.75" thickBot="1">
      <c r="A39" s="246" t="s">
        <v>361</v>
      </c>
      <c r="B39" s="237"/>
      <c r="C39" s="261">
        <f>SUM(C33:C37)</f>
        <v>48</v>
      </c>
      <c r="D39" s="237"/>
      <c r="E39" s="261">
        <f>SUM(E33:E37)</f>
        <v>-2251</v>
      </c>
      <c r="F39" s="237"/>
      <c r="G39" s="261">
        <f>SUM(G33:G37)</f>
        <v>27439</v>
      </c>
      <c r="H39" s="237"/>
      <c r="I39" s="261">
        <f>SUM(I33:I37)</f>
        <v>-19816</v>
      </c>
    </row>
    <row r="40" spans="1:16">
      <c r="A40" s="236"/>
      <c r="B40" s="237"/>
      <c r="C40" s="248"/>
      <c r="D40" s="237"/>
      <c r="E40" s="248"/>
      <c r="F40" s="237"/>
      <c r="G40" s="248"/>
      <c r="H40" s="237"/>
      <c r="I40" s="248"/>
    </row>
    <row r="41" spans="1:16">
      <c r="A41" s="246" t="s">
        <v>24</v>
      </c>
      <c r="B41" s="237"/>
      <c r="C41" s="248"/>
      <c r="D41" s="237"/>
      <c r="E41" s="248"/>
      <c r="F41" s="237"/>
      <c r="G41" s="248"/>
      <c r="H41" s="237"/>
      <c r="I41" s="248"/>
      <c r="M41" s="244"/>
    </row>
    <row r="42" spans="1:16">
      <c r="A42" s="247" t="s">
        <v>362</v>
      </c>
      <c r="B42" s="237"/>
      <c r="C42" s="248"/>
      <c r="D42" s="248"/>
      <c r="E42" s="264"/>
      <c r="F42" s="248"/>
      <c r="G42" s="248"/>
      <c r="H42" s="248"/>
      <c r="I42" s="216"/>
      <c r="K42" t="s">
        <v>363</v>
      </c>
      <c r="M42" s="245"/>
      <c r="N42" s="85" t="s">
        <v>72</v>
      </c>
      <c r="O42" s="51" t="s">
        <v>74</v>
      </c>
    </row>
    <row r="43" spans="1:16">
      <c r="A43" s="247" t="s">
        <v>364</v>
      </c>
      <c r="B43" s="237"/>
      <c r="C43" s="248"/>
      <c r="D43" s="248"/>
      <c r="E43" s="264"/>
      <c r="F43" s="248"/>
      <c r="G43" s="248"/>
      <c r="H43" s="248"/>
      <c r="I43" s="250">
        <v>-146084</v>
      </c>
      <c r="K43" s="238">
        <v>11023</v>
      </c>
      <c r="M43" t="s">
        <v>365</v>
      </c>
      <c r="N43">
        <v>12507</v>
      </c>
      <c r="O43">
        <v>1752</v>
      </c>
      <c r="P43">
        <f>SUM(N43:O43)</f>
        <v>14259</v>
      </c>
    </row>
    <row r="44" spans="1:16">
      <c r="A44" s="247" t="s">
        <v>366</v>
      </c>
      <c r="B44" s="237"/>
      <c r="C44" s="248"/>
      <c r="D44" s="248"/>
      <c r="E44" s="264"/>
      <c r="F44" s="248"/>
      <c r="G44" s="248"/>
      <c r="H44" s="248"/>
      <c r="I44" s="251">
        <v>942</v>
      </c>
      <c r="M44" t="s">
        <v>367</v>
      </c>
      <c r="N44">
        <v>870</v>
      </c>
      <c r="O44">
        <v>173</v>
      </c>
      <c r="P44">
        <f>SUM(N44:O44)</f>
        <v>1043</v>
      </c>
    </row>
    <row r="45" spans="1:16">
      <c r="A45" s="247" t="s">
        <v>368</v>
      </c>
      <c r="B45" s="237"/>
      <c r="C45" s="248"/>
      <c r="D45" s="248"/>
      <c r="E45" s="264"/>
      <c r="F45" s="248"/>
      <c r="G45" s="248"/>
      <c r="H45" s="248"/>
      <c r="I45" s="248"/>
    </row>
    <row r="46" spans="1:16">
      <c r="A46" s="247" t="s">
        <v>369</v>
      </c>
      <c r="B46" s="237"/>
      <c r="C46" s="248"/>
      <c r="D46" s="248"/>
      <c r="E46" s="248"/>
      <c r="F46" s="248"/>
      <c r="G46" s="248"/>
      <c r="H46" s="248"/>
      <c r="I46" s="248"/>
      <c r="M46" t="s">
        <v>370</v>
      </c>
    </row>
    <row r="47" spans="1:16">
      <c r="A47" s="247" t="s">
        <v>371</v>
      </c>
      <c r="B47" s="237"/>
      <c r="C47" s="248"/>
      <c r="D47" s="248"/>
      <c r="E47" s="248"/>
      <c r="F47" s="248"/>
      <c r="G47" s="248"/>
      <c r="H47" s="248"/>
      <c r="I47" s="248"/>
      <c r="M47" t="s">
        <v>372</v>
      </c>
      <c r="N47">
        <v>-76147</v>
      </c>
    </row>
    <row r="48" spans="1:16">
      <c r="A48" s="247" t="s">
        <v>373</v>
      </c>
      <c r="B48" s="237"/>
      <c r="C48" s="248"/>
      <c r="D48" s="248"/>
      <c r="E48" s="248"/>
      <c r="F48" s="248"/>
      <c r="G48" s="248">
        <v>867</v>
      </c>
      <c r="H48" s="248"/>
      <c r="I48" s="250">
        <v>-25040</v>
      </c>
      <c r="M48" t="s">
        <v>374</v>
      </c>
      <c r="N48">
        <v>-2747</v>
      </c>
    </row>
    <row r="49" spans="1:14">
      <c r="A49" s="247" t="s">
        <v>25</v>
      </c>
      <c r="B49" s="237"/>
      <c r="C49" s="248"/>
      <c r="D49" s="248"/>
      <c r="E49" s="248"/>
      <c r="F49" s="248"/>
      <c r="G49" s="248">
        <v>-782</v>
      </c>
      <c r="H49" s="248"/>
      <c r="I49" s="250">
        <v>-3163</v>
      </c>
      <c r="M49" t="s">
        <v>375</v>
      </c>
      <c r="N49">
        <v>9889</v>
      </c>
    </row>
    <row r="50" spans="1:14">
      <c r="A50" s="247" t="s">
        <v>376</v>
      </c>
      <c r="B50" s="237"/>
      <c r="C50" s="248"/>
      <c r="D50" s="248"/>
      <c r="E50" s="248"/>
      <c r="F50" s="248"/>
      <c r="G50" s="248">
        <v>395</v>
      </c>
      <c r="H50" s="248"/>
      <c r="I50" s="251">
        <v>163</v>
      </c>
      <c r="M50" t="s">
        <v>377</v>
      </c>
      <c r="N50">
        <v>-2618</v>
      </c>
    </row>
    <row r="51" spans="1:14">
      <c r="A51" s="247" t="s">
        <v>378</v>
      </c>
      <c r="B51" s="237"/>
      <c r="C51" s="248"/>
      <c r="D51" s="248"/>
      <c r="E51" s="248">
        <v>-15</v>
      </c>
      <c r="F51" s="248"/>
      <c r="G51" s="248">
        <v>-455</v>
      </c>
      <c r="H51" s="248"/>
      <c r="I51" s="250">
        <v>-1493</v>
      </c>
      <c r="M51" t="s">
        <v>379</v>
      </c>
      <c r="N51">
        <v>11023</v>
      </c>
    </row>
    <row r="52" spans="1:14" ht="15.75" thickBot="1">
      <c r="A52" s="247" t="s">
        <v>380</v>
      </c>
      <c r="B52" s="237"/>
      <c r="C52" s="239"/>
      <c r="D52" s="237"/>
      <c r="E52" s="265"/>
      <c r="F52" s="237"/>
      <c r="G52" s="266"/>
      <c r="H52" s="237"/>
      <c r="I52" s="266"/>
    </row>
    <row r="53" spans="1:14">
      <c r="A53" s="236"/>
      <c r="B53" s="237"/>
      <c r="C53" s="248"/>
      <c r="D53" s="237"/>
      <c r="E53" s="248"/>
      <c r="F53" s="237"/>
      <c r="G53" s="248"/>
      <c r="H53" s="237"/>
      <c r="I53" s="248"/>
      <c r="M53" t="s">
        <v>381</v>
      </c>
      <c r="N53">
        <f>N47+N49+N50+N51</f>
        <v>-57853</v>
      </c>
    </row>
    <row r="54" spans="1:14" ht="15.75" thickBot="1">
      <c r="A54" s="246" t="s">
        <v>382</v>
      </c>
      <c r="B54" s="237"/>
      <c r="C54" s="261">
        <f>SUM(C42:C52)</f>
        <v>0</v>
      </c>
      <c r="D54" s="237"/>
      <c r="E54" s="261">
        <f>SUM(E42:E52)</f>
        <v>-15</v>
      </c>
      <c r="F54" s="237"/>
      <c r="G54" s="261">
        <f>SUM(G42:G52)</f>
        <v>25</v>
      </c>
      <c r="H54" s="237"/>
      <c r="I54" s="261">
        <f>SUM(I42:I52)</f>
        <v>-174675</v>
      </c>
    </row>
    <row r="55" spans="1:14">
      <c r="A55" s="236"/>
      <c r="B55" s="237"/>
      <c r="C55" s="248"/>
      <c r="D55" s="237"/>
      <c r="E55" s="248"/>
      <c r="F55" s="237"/>
      <c r="G55" s="248"/>
      <c r="H55" s="237"/>
      <c r="I55" s="248"/>
    </row>
    <row r="56" spans="1:14" s="267" customFormat="1">
      <c r="A56" s="246" t="s">
        <v>26</v>
      </c>
      <c r="B56" s="237"/>
      <c r="C56" s="248"/>
      <c r="D56" s="237"/>
      <c r="E56" s="248"/>
      <c r="F56" s="237"/>
      <c r="G56" s="248"/>
      <c r="H56" s="237"/>
      <c r="I56" s="248"/>
      <c r="M56" s="267" t="s">
        <v>383</v>
      </c>
    </row>
    <row r="57" spans="1:14">
      <c r="A57" s="247" t="s">
        <v>384</v>
      </c>
      <c r="B57" s="237"/>
      <c r="C57" s="248">
        <v>1514</v>
      </c>
      <c r="D57" s="237"/>
      <c r="E57" s="248"/>
      <c r="F57" s="237"/>
      <c r="G57" s="248">
        <v>1514</v>
      </c>
      <c r="H57" s="237"/>
      <c r="I57" s="248"/>
      <c r="M57" s="85">
        <v>33984</v>
      </c>
    </row>
    <row r="58" spans="1:14">
      <c r="A58" s="247" t="s">
        <v>385</v>
      </c>
      <c r="B58" s="237"/>
      <c r="C58" s="248"/>
      <c r="D58" s="248"/>
      <c r="E58" s="248"/>
      <c r="F58" s="248"/>
      <c r="G58" s="248">
        <v>0</v>
      </c>
      <c r="H58" s="248"/>
      <c r="I58" s="268">
        <v>214379</v>
      </c>
    </row>
    <row r="59" spans="1:14">
      <c r="A59" s="247" t="s">
        <v>386</v>
      </c>
      <c r="B59" s="237"/>
      <c r="C59" s="248"/>
      <c r="D59" s="248"/>
      <c r="E59" s="248"/>
      <c r="F59" s="248"/>
      <c r="G59" s="248">
        <v>-23399</v>
      </c>
      <c r="H59" s="248"/>
      <c r="I59" s="268"/>
    </row>
    <row r="60" spans="1:14">
      <c r="A60" s="247" t="s">
        <v>387</v>
      </c>
      <c r="B60" s="237"/>
      <c r="C60" s="248"/>
      <c r="D60" s="248"/>
      <c r="E60" s="248"/>
      <c r="F60" s="248"/>
      <c r="G60" s="248"/>
      <c r="H60" s="248"/>
      <c r="I60" s="253"/>
      <c r="J60" s="234" t="s">
        <v>388</v>
      </c>
    </row>
    <row r="61" spans="1:14">
      <c r="A61" s="247" t="s">
        <v>27</v>
      </c>
      <c r="B61" s="237"/>
      <c r="C61" s="238"/>
      <c r="D61" s="248"/>
      <c r="E61" s="248"/>
      <c r="F61" s="248"/>
      <c r="G61" s="248"/>
      <c r="H61" s="248"/>
      <c r="I61" s="269"/>
    </row>
    <row r="62" spans="1:14" ht="15.75" thickBot="1">
      <c r="A62" s="236"/>
      <c r="B62" s="237"/>
      <c r="C62" s="261"/>
      <c r="D62" s="237"/>
      <c r="E62" s="261"/>
      <c r="F62" s="237"/>
      <c r="G62" s="261"/>
      <c r="H62" s="237"/>
      <c r="I62" s="270"/>
    </row>
    <row r="63" spans="1:14">
      <c r="A63" s="246" t="s">
        <v>389</v>
      </c>
      <c r="B63" s="237"/>
      <c r="C63" s="248">
        <f>SUM(C57:C62)</f>
        <v>1514</v>
      </c>
      <c r="D63" s="237"/>
      <c r="E63" s="248">
        <f>SUM(E57:E62)</f>
        <v>0</v>
      </c>
      <c r="F63" s="237"/>
      <c r="G63" s="248">
        <f>SUM(G57:G62)</f>
        <v>-21885</v>
      </c>
      <c r="H63" s="237"/>
      <c r="I63" s="248">
        <f>SUM(I57:I62)</f>
        <v>214379</v>
      </c>
    </row>
    <row r="64" spans="1:14" ht="15.75" thickBot="1">
      <c r="A64" s="236"/>
      <c r="B64" s="237"/>
      <c r="C64" s="261"/>
      <c r="D64" s="237"/>
      <c r="E64" s="261"/>
      <c r="F64" s="237"/>
      <c r="G64" s="261"/>
      <c r="H64" s="237"/>
      <c r="I64" s="261"/>
    </row>
    <row r="65" spans="1:18">
      <c r="A65" s="246" t="s">
        <v>28</v>
      </c>
      <c r="B65" s="237"/>
      <c r="C65" s="248">
        <f>C39+C54+C63</f>
        <v>1562</v>
      </c>
      <c r="D65" s="237"/>
      <c r="E65" s="248">
        <f>E39+E54+E63</f>
        <v>-2266</v>
      </c>
      <c r="F65" s="237"/>
      <c r="G65" s="248">
        <f>G39+G54+G63</f>
        <v>5579</v>
      </c>
      <c r="H65" s="237"/>
      <c r="I65" s="248">
        <f>I39+I54+I63</f>
        <v>19888</v>
      </c>
    </row>
    <row r="66" spans="1:18">
      <c r="A66" s="236"/>
      <c r="B66" s="237"/>
      <c r="C66" s="248"/>
      <c r="D66" s="237"/>
      <c r="E66" s="248"/>
      <c r="F66" s="237"/>
      <c r="G66" s="248"/>
      <c r="H66" s="237"/>
      <c r="I66" s="248"/>
    </row>
    <row r="67" spans="1:18" ht="15.75" thickBot="1">
      <c r="A67" s="246" t="s">
        <v>390</v>
      </c>
      <c r="B67" s="237"/>
      <c r="C67" s="261">
        <v>61</v>
      </c>
      <c r="D67" s="261"/>
      <c r="E67" s="261">
        <v>6347</v>
      </c>
      <c r="F67" s="261"/>
      <c r="G67" s="261">
        <v>46343</v>
      </c>
      <c r="H67" s="261"/>
      <c r="I67" s="261">
        <v>14664</v>
      </c>
    </row>
    <row r="68" spans="1:18">
      <c r="A68" s="236"/>
      <c r="B68" s="237"/>
      <c r="C68" s="248"/>
      <c r="D68" s="237"/>
      <c r="E68" s="248"/>
      <c r="F68" s="237"/>
      <c r="G68" s="248"/>
      <c r="H68" s="237"/>
      <c r="I68" s="248"/>
    </row>
    <row r="69" spans="1:18" ht="15.75" thickBot="1">
      <c r="A69" s="246" t="s">
        <v>391</v>
      </c>
      <c r="B69" s="237"/>
      <c r="C69" s="271">
        <f>SUM(C65:C67)</f>
        <v>1623</v>
      </c>
      <c r="D69" s="237"/>
      <c r="E69" s="271">
        <f>SUM(E65:E67)</f>
        <v>4081</v>
      </c>
      <c r="F69" s="237"/>
      <c r="G69" s="271">
        <f>SUM(G65:G67)</f>
        <v>51922</v>
      </c>
      <c r="H69" s="237"/>
      <c r="I69" s="271">
        <f>SUM(I65:I67)</f>
        <v>34552</v>
      </c>
    </row>
    <row r="70" spans="1:18" ht="15.75" thickTop="1">
      <c r="C70" s="85">
        <v>0</v>
      </c>
      <c r="G70" s="85">
        <v>0</v>
      </c>
    </row>
    <row r="71" spans="1:18">
      <c r="C71" s="238"/>
      <c r="G71" s="238">
        <f>G69-G70</f>
        <v>51922</v>
      </c>
    </row>
    <row r="72" spans="1:18">
      <c r="G72" s="51">
        <f>G70-11023</f>
        <v>-11023</v>
      </c>
    </row>
    <row r="73" spans="1:18">
      <c r="G73">
        <f>G71/2</f>
        <v>25961</v>
      </c>
    </row>
    <row r="77" spans="1:18">
      <c r="M77" t="s">
        <v>392</v>
      </c>
      <c r="N77" t="s">
        <v>393</v>
      </c>
      <c r="O77" t="s">
        <v>394</v>
      </c>
      <c r="P77" t="s">
        <v>395</v>
      </c>
      <c r="Q77" t="s">
        <v>396</v>
      </c>
      <c r="R77" t="s">
        <v>78</v>
      </c>
    </row>
    <row r="78" spans="1:18">
      <c r="M78" t="s">
        <v>397</v>
      </c>
      <c r="N78" s="85">
        <v>3163</v>
      </c>
      <c r="O78" s="85">
        <v>2717</v>
      </c>
      <c r="P78" s="85">
        <v>43</v>
      </c>
      <c r="Q78" s="85"/>
      <c r="R78" s="85">
        <f>SUM(N78:Q78)</f>
        <v>5923</v>
      </c>
    </row>
    <row r="79" spans="1:18">
      <c r="M79" t="s">
        <v>398</v>
      </c>
      <c r="N79" s="85">
        <v>1493</v>
      </c>
      <c r="O79" s="85">
        <v>232</v>
      </c>
      <c r="P79" s="85">
        <v>63</v>
      </c>
      <c r="Q79" s="85">
        <v>119</v>
      </c>
      <c r="R79" s="85">
        <f>SUM(N79:Q79)</f>
        <v>1907</v>
      </c>
    </row>
  </sheetData>
  <mergeCells count="2">
    <mergeCell ref="C3:E3"/>
    <mergeCell ref="G3:I3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>
    <pageSetUpPr fitToPage="1"/>
  </sheetPr>
  <dimension ref="A1:Q69"/>
  <sheetViews>
    <sheetView showGridLines="0" zoomScale="90" zoomScaleNormal="90" workbookViewId="0">
      <pane xSplit="4" ySplit="3" topLeftCell="E4" activePane="bottomRight" state="frozen"/>
      <selection activeCell="AE9" sqref="AE9"/>
      <selection pane="topRight" activeCell="AE9" sqref="AE9"/>
      <selection pane="bottomLeft" activeCell="AE9" sqref="AE9"/>
      <selection pane="bottomRight" activeCell="A3" sqref="A3:D67"/>
    </sheetView>
  </sheetViews>
  <sheetFormatPr defaultColWidth="9.140625" defaultRowHeight="12" outlineLevelCol="1"/>
  <cols>
    <col min="1" max="3" width="2.85546875" style="351" customWidth="1"/>
    <col min="4" max="4" width="53.85546875" style="351" bestFit="1" customWidth="1"/>
    <col min="5" max="6" width="11.85546875" style="352" customWidth="1" outlineLevel="1"/>
    <col min="7" max="7" width="10.42578125" style="353" customWidth="1" outlineLevel="1"/>
    <col min="8" max="8" width="13.140625" style="353" customWidth="1" outlineLevel="1"/>
    <col min="9" max="16" width="9.140625" style="352"/>
    <col min="17" max="17" width="9.140625" style="398"/>
    <col min="18" max="16384" width="9.140625" style="352"/>
  </cols>
  <sheetData>
    <row r="1" spans="1:17" ht="90" customHeight="1" thickBot="1"/>
    <row r="2" spans="1:17" ht="12.75" thickBot="1">
      <c r="A2" s="327" t="s">
        <v>406</v>
      </c>
      <c r="B2" s="328"/>
      <c r="C2" s="328"/>
      <c r="D2" s="321"/>
      <c r="E2" s="2">
        <v>45291</v>
      </c>
      <c r="F2" s="2">
        <v>45657</v>
      </c>
      <c r="G2" s="2" t="s">
        <v>0</v>
      </c>
      <c r="H2" s="2" t="s">
        <v>1</v>
      </c>
    </row>
    <row r="3" spans="1:17" ht="15.75" customHeight="1">
      <c r="A3" s="329" t="s">
        <v>504</v>
      </c>
      <c r="B3" s="322"/>
      <c r="C3" s="3"/>
      <c r="D3" s="3"/>
      <c r="E3" s="52"/>
      <c r="F3" s="48"/>
      <c r="G3" s="68"/>
      <c r="H3" s="69"/>
    </row>
    <row r="4" spans="1:17" ht="15.75" customHeight="1">
      <c r="A4" s="330"/>
      <c r="B4" s="331" t="s">
        <v>505</v>
      </c>
      <c r="C4" s="331"/>
      <c r="D4" s="331"/>
      <c r="E4" s="49"/>
      <c r="F4" s="49"/>
      <c r="G4" s="81"/>
      <c r="H4" s="83"/>
    </row>
    <row r="5" spans="1:17" ht="15.75" customHeight="1">
      <c r="A5" s="330"/>
      <c r="B5" s="331"/>
      <c r="C5" s="331"/>
      <c r="D5" s="331" t="s">
        <v>506</v>
      </c>
      <c r="E5" s="16">
        <v>125152</v>
      </c>
      <c r="F5" s="16">
        <v>119913</v>
      </c>
      <c r="G5" s="58">
        <f>F5/E5-1</f>
        <v>-4.1861096906162132E-2</v>
      </c>
      <c r="H5" s="100">
        <f>F5-E5</f>
        <v>-5239</v>
      </c>
      <c r="Q5" s="398" t="s">
        <v>431</v>
      </c>
    </row>
    <row r="6" spans="1:17">
      <c r="A6" s="330"/>
      <c r="B6" s="331"/>
      <c r="C6" s="331"/>
      <c r="D6" s="331" t="s">
        <v>507</v>
      </c>
      <c r="E6" s="16">
        <v>119</v>
      </c>
      <c r="F6" s="16">
        <v>366</v>
      </c>
      <c r="G6" s="58">
        <f t="shared" ref="G6" si="0">F6/E6-1</f>
        <v>2.0756302521008405</v>
      </c>
      <c r="H6" s="100">
        <f t="shared" ref="H6:H9" si="1">F6-E6</f>
        <v>247</v>
      </c>
      <c r="Q6" s="398" t="s">
        <v>432</v>
      </c>
    </row>
    <row r="7" spans="1:17" ht="15.75" customHeight="1">
      <c r="A7" s="330"/>
      <c r="B7" s="331"/>
      <c r="C7" s="331"/>
      <c r="D7" s="331" t="s">
        <v>508</v>
      </c>
      <c r="E7" s="12">
        <v>0</v>
      </c>
      <c r="F7" s="55">
        <v>0</v>
      </c>
      <c r="G7" s="58">
        <f>IFERROR(F7/E7-1,0)</f>
        <v>0</v>
      </c>
      <c r="H7" s="100">
        <f t="shared" si="1"/>
        <v>0</v>
      </c>
    </row>
    <row r="8" spans="1:17" ht="15.75" customHeight="1">
      <c r="A8" s="330"/>
      <c r="B8" s="331"/>
      <c r="C8" s="331"/>
      <c r="D8" s="331" t="s">
        <v>509</v>
      </c>
      <c r="E8" s="12">
        <v>152111</v>
      </c>
      <c r="F8" s="16">
        <v>190186</v>
      </c>
      <c r="G8" s="58">
        <f t="shared" ref="G8:G9" si="2">IFERROR(F8/E8-1,0)</f>
        <v>0.25031062842266505</v>
      </c>
      <c r="H8" s="100">
        <f t="shared" si="1"/>
        <v>38075</v>
      </c>
      <c r="Q8" s="398" t="s">
        <v>433</v>
      </c>
    </row>
    <row r="9" spans="1:17">
      <c r="A9" s="330"/>
      <c r="B9" s="331"/>
      <c r="C9" s="331"/>
      <c r="D9" s="331" t="s">
        <v>510</v>
      </c>
      <c r="E9" s="16">
        <v>117525</v>
      </c>
      <c r="F9" s="16">
        <v>142936</v>
      </c>
      <c r="G9" s="58">
        <f t="shared" si="2"/>
        <v>0.21621782599446937</v>
      </c>
      <c r="H9" s="100">
        <f t="shared" si="1"/>
        <v>25411</v>
      </c>
      <c r="Q9" s="398" t="s">
        <v>434</v>
      </c>
    </row>
    <row r="10" spans="1:17">
      <c r="A10" s="330"/>
      <c r="B10" s="331"/>
      <c r="C10" s="331"/>
      <c r="D10" s="331" t="s">
        <v>511</v>
      </c>
      <c r="E10" s="16">
        <v>8107</v>
      </c>
      <c r="F10" s="16">
        <v>2226</v>
      </c>
      <c r="G10" s="58">
        <f>IFERROR(F10/E10-1,0)</f>
        <v>-0.72542247440483532</v>
      </c>
      <c r="H10" s="100">
        <f>F10-E10</f>
        <v>-5881</v>
      </c>
      <c r="Q10" s="398" t="s">
        <v>435</v>
      </c>
    </row>
    <row r="11" spans="1:17">
      <c r="A11" s="330"/>
      <c r="B11" s="331"/>
      <c r="C11" s="331"/>
      <c r="D11" s="331" t="s">
        <v>512</v>
      </c>
      <c r="E11" s="16">
        <v>18164</v>
      </c>
      <c r="F11" s="16">
        <v>16012</v>
      </c>
      <c r="G11" s="58">
        <f>IFERROR(F11/E11-1,0)</f>
        <v>-0.11847610658445273</v>
      </c>
      <c r="H11" s="100">
        <f>F11-E11</f>
        <v>-2152</v>
      </c>
      <c r="Q11" s="398" t="s">
        <v>436</v>
      </c>
    </row>
    <row r="12" spans="1:17">
      <c r="A12" s="330"/>
      <c r="B12" s="331"/>
      <c r="C12" s="331"/>
      <c r="D12" s="331" t="s">
        <v>513</v>
      </c>
      <c r="E12" s="16">
        <v>1</v>
      </c>
      <c r="F12" s="16">
        <v>7583</v>
      </c>
      <c r="G12" s="58">
        <f>IFERROR(F12/E12-1,0)</f>
        <v>7582</v>
      </c>
      <c r="H12" s="100">
        <f>F12-E12</f>
        <v>7582</v>
      </c>
      <c r="Q12" s="398" t="s">
        <v>437</v>
      </c>
    </row>
    <row r="13" spans="1:17">
      <c r="A13" s="330"/>
      <c r="B13" s="331"/>
      <c r="C13" s="331"/>
      <c r="D13" s="331" t="s">
        <v>514</v>
      </c>
      <c r="E13" s="16">
        <v>16073</v>
      </c>
      <c r="F13" s="16">
        <v>16471</v>
      </c>
      <c r="G13" s="58">
        <f>IFERROR(F13/E13-1,0)</f>
        <v>2.476202326883592E-2</v>
      </c>
      <c r="H13" s="100">
        <f>F13-E13</f>
        <v>398</v>
      </c>
      <c r="Q13" s="398" t="s">
        <v>33</v>
      </c>
    </row>
    <row r="14" spans="1:17">
      <c r="A14" s="330"/>
      <c r="B14" s="331"/>
      <c r="C14" s="331"/>
      <c r="D14" s="331" t="s">
        <v>515</v>
      </c>
      <c r="E14" s="16">
        <v>438</v>
      </c>
      <c r="F14" s="16">
        <v>0</v>
      </c>
      <c r="G14" s="58">
        <f>IFERROR(F14/E14-1,0)</f>
        <v>-1</v>
      </c>
      <c r="H14" s="100">
        <f>F14-E14</f>
        <v>-438</v>
      </c>
    </row>
    <row r="15" spans="1:17">
      <c r="A15" s="330"/>
      <c r="B15" s="331"/>
      <c r="C15" s="331"/>
      <c r="D15" s="331" t="s">
        <v>516</v>
      </c>
      <c r="E15" s="16"/>
      <c r="F15" s="16"/>
      <c r="G15" s="58"/>
      <c r="H15" s="100"/>
    </row>
    <row r="16" spans="1:17">
      <c r="A16" s="330"/>
      <c r="B16" s="331"/>
      <c r="C16" s="331" t="s">
        <v>517</v>
      </c>
      <c r="D16" s="3"/>
      <c r="E16" s="16"/>
      <c r="F16" s="16"/>
      <c r="G16" s="76"/>
      <c r="H16" s="100"/>
    </row>
    <row r="17" spans="1:17">
      <c r="A17" s="330"/>
      <c r="B17" s="331"/>
      <c r="C17" s="331"/>
      <c r="D17" s="331" t="s">
        <v>518</v>
      </c>
      <c r="E17" s="16"/>
      <c r="F17" s="16"/>
      <c r="G17" s="58">
        <f t="shared" ref="G17:G22" si="3">IFERROR(F17/E17-1,0)</f>
        <v>0</v>
      </c>
      <c r="H17" s="100">
        <f>F17-E17</f>
        <v>0</v>
      </c>
    </row>
    <row r="18" spans="1:17">
      <c r="A18" s="330"/>
      <c r="B18" s="331"/>
      <c r="C18" s="331"/>
      <c r="D18" s="331" t="s">
        <v>519</v>
      </c>
      <c r="E18" s="16">
        <v>1062</v>
      </c>
      <c r="F18" s="16">
        <v>312</v>
      </c>
      <c r="G18" s="58">
        <f t="shared" si="3"/>
        <v>-0.70621468926553677</v>
      </c>
      <c r="H18" s="100">
        <f t="shared" ref="H18:H22" si="4">F18-E18</f>
        <v>-750</v>
      </c>
      <c r="Q18" s="398" t="s">
        <v>304</v>
      </c>
    </row>
    <row r="19" spans="1:17">
      <c r="A19" s="330"/>
      <c r="B19" s="331"/>
      <c r="C19" s="331"/>
      <c r="D19" s="331" t="s">
        <v>520</v>
      </c>
      <c r="E19" s="16">
        <v>0</v>
      </c>
      <c r="F19" s="16">
        <v>0</v>
      </c>
      <c r="G19" s="58">
        <f t="shared" si="3"/>
        <v>0</v>
      </c>
      <c r="H19" s="100">
        <f t="shared" si="4"/>
        <v>0</v>
      </c>
      <c r="Q19" s="398" t="s">
        <v>438</v>
      </c>
    </row>
    <row r="20" spans="1:17">
      <c r="A20" s="330"/>
      <c r="B20" s="331"/>
      <c r="C20" s="331"/>
      <c r="D20" s="331" t="s">
        <v>513</v>
      </c>
      <c r="E20" s="16">
        <v>3252</v>
      </c>
      <c r="F20" s="16">
        <v>3294</v>
      </c>
      <c r="G20" s="58">
        <f t="shared" si="3"/>
        <v>1.2915129151291449E-2</v>
      </c>
      <c r="H20" s="100">
        <f t="shared" si="4"/>
        <v>42</v>
      </c>
      <c r="Q20" s="398" t="s">
        <v>32</v>
      </c>
    </row>
    <row r="21" spans="1:17">
      <c r="A21" s="330"/>
      <c r="B21" s="331"/>
      <c r="C21" s="3"/>
      <c r="D21" s="3" t="s">
        <v>521</v>
      </c>
      <c r="E21" s="16">
        <v>5014</v>
      </c>
      <c r="F21" s="16">
        <v>7160</v>
      </c>
      <c r="G21" s="58">
        <f t="shared" si="3"/>
        <v>0.42800159553250894</v>
      </c>
      <c r="H21" s="100">
        <f t="shared" si="4"/>
        <v>2146</v>
      </c>
      <c r="Q21" s="398" t="s">
        <v>439</v>
      </c>
    </row>
    <row r="22" spans="1:17">
      <c r="A22" s="330"/>
      <c r="B22" s="331"/>
      <c r="C22" s="331"/>
      <c r="D22" s="331" t="s">
        <v>515</v>
      </c>
      <c r="E22" s="16">
        <v>0</v>
      </c>
      <c r="F22" s="16">
        <v>0</v>
      </c>
      <c r="G22" s="58">
        <f t="shared" si="3"/>
        <v>0</v>
      </c>
      <c r="H22" s="100">
        <f t="shared" si="4"/>
        <v>0</v>
      </c>
      <c r="Q22" s="398" t="s">
        <v>440</v>
      </c>
    </row>
    <row r="23" spans="1:17">
      <c r="A23" s="330"/>
      <c r="B23" s="331"/>
      <c r="C23" s="331" t="s">
        <v>522</v>
      </c>
      <c r="D23" s="322"/>
      <c r="E23" s="16"/>
      <c r="F23" s="16"/>
      <c r="G23" s="76"/>
      <c r="H23" s="100"/>
    </row>
    <row r="24" spans="1:17">
      <c r="A24" s="330"/>
      <c r="B24" s="331"/>
      <c r="C24" s="331"/>
      <c r="D24" s="331" t="s">
        <v>523</v>
      </c>
      <c r="E24" s="16">
        <v>191041</v>
      </c>
      <c r="F24" s="16">
        <v>191867</v>
      </c>
      <c r="G24" s="58">
        <f>F24/E24-1</f>
        <v>4.3236792102219201E-3</v>
      </c>
      <c r="H24" s="100">
        <f t="shared" ref="H24:H25" si="5">F24-E24</f>
        <v>826</v>
      </c>
      <c r="Q24" s="398" t="s">
        <v>441</v>
      </c>
    </row>
    <row r="25" spans="1:17">
      <c r="A25" s="330"/>
      <c r="B25" s="331"/>
      <c r="C25" s="331"/>
      <c r="D25" s="331" t="s">
        <v>524</v>
      </c>
      <c r="E25" s="16">
        <v>27556</v>
      </c>
      <c r="F25" s="16">
        <v>26161</v>
      </c>
      <c r="G25" s="58">
        <f>F25/E25-1</f>
        <v>-5.0624183480911578E-2</v>
      </c>
      <c r="H25" s="100">
        <f t="shared" si="5"/>
        <v>-1395</v>
      </c>
      <c r="Q25" s="398" t="s">
        <v>442</v>
      </c>
    </row>
    <row r="26" spans="1:17">
      <c r="A26" s="323" t="s">
        <v>525</v>
      </c>
      <c r="B26" s="324"/>
      <c r="C26" s="324"/>
      <c r="D26" s="325"/>
      <c r="E26" s="34">
        <f>SUM(E5:E25)</f>
        <v>665615</v>
      </c>
      <c r="F26" s="34">
        <f>SUM(F5:F25)</f>
        <v>724487</v>
      </c>
      <c r="G26" s="82">
        <f>F26/E26-1</f>
        <v>8.8447525972221275E-2</v>
      </c>
      <c r="H26" s="84">
        <f>F26-E26</f>
        <v>58872</v>
      </c>
    </row>
    <row r="27" spans="1:17">
      <c r="A27" s="330" t="s">
        <v>526</v>
      </c>
      <c r="B27" s="331"/>
      <c r="C27" s="331"/>
      <c r="D27" s="331"/>
      <c r="E27" s="50"/>
      <c r="F27" s="50"/>
      <c r="G27" s="58"/>
      <c r="H27" s="59"/>
    </row>
    <row r="28" spans="1:17">
      <c r="A28" s="330"/>
      <c r="B28" s="331" t="s">
        <v>527</v>
      </c>
      <c r="C28" s="331"/>
      <c r="D28" s="331"/>
      <c r="E28" s="50"/>
      <c r="F28" s="50"/>
      <c r="G28" s="58"/>
      <c r="H28" s="59"/>
    </row>
    <row r="29" spans="1:17">
      <c r="A29" s="330"/>
      <c r="B29" s="331"/>
      <c r="C29" s="331"/>
      <c r="D29" s="331" t="s">
        <v>528</v>
      </c>
      <c r="E29" s="12"/>
      <c r="F29" s="12"/>
      <c r="G29" s="58"/>
      <c r="H29" s="59"/>
    </row>
    <row r="30" spans="1:17">
      <c r="A30" s="330"/>
      <c r="B30" s="331"/>
      <c r="C30" s="331"/>
      <c r="D30" s="331" t="s">
        <v>529</v>
      </c>
      <c r="E30" s="12">
        <v>16060</v>
      </c>
      <c r="F30" s="16">
        <v>53985</v>
      </c>
      <c r="G30" s="58">
        <f t="shared" ref="G30:G42" si="6">IFERROR(F30/E30-1,0)</f>
        <v>2.3614570361145701</v>
      </c>
      <c r="H30" s="100">
        <f>F30-E30</f>
        <v>37925</v>
      </c>
      <c r="Q30" s="398" t="s">
        <v>443</v>
      </c>
    </row>
    <row r="31" spans="1:17">
      <c r="A31" s="330"/>
      <c r="B31" s="331"/>
      <c r="C31" s="331"/>
      <c r="D31" s="331" t="s">
        <v>530</v>
      </c>
      <c r="E31" s="12">
        <v>44223</v>
      </c>
      <c r="F31" s="16">
        <v>72246</v>
      </c>
      <c r="G31" s="58">
        <f t="shared" si="6"/>
        <v>0.6336747846143409</v>
      </c>
      <c r="H31" s="100">
        <f t="shared" ref="H31:H42" si="7">F31-E31</f>
        <v>28023</v>
      </c>
      <c r="Q31" s="398" t="s">
        <v>444</v>
      </c>
    </row>
    <row r="32" spans="1:17">
      <c r="A32" s="330"/>
      <c r="B32" s="331"/>
      <c r="C32" s="331"/>
      <c r="D32" s="331"/>
      <c r="E32" s="16">
        <v>708</v>
      </c>
      <c r="F32" s="16">
        <v>125</v>
      </c>
      <c r="G32" s="58"/>
      <c r="H32" s="100"/>
      <c r="Q32" s="398" t="s">
        <v>422</v>
      </c>
    </row>
    <row r="33" spans="1:17">
      <c r="A33" s="330"/>
      <c r="B33" s="331"/>
      <c r="C33" s="331"/>
      <c r="D33" s="331" t="s">
        <v>531</v>
      </c>
      <c r="E33" s="12">
        <v>8457</v>
      </c>
      <c r="F33" s="16">
        <v>6108</v>
      </c>
      <c r="G33" s="58">
        <f t="shared" si="6"/>
        <v>-0.27775807023767296</v>
      </c>
      <c r="H33" s="100">
        <f t="shared" si="7"/>
        <v>-2349</v>
      </c>
      <c r="Q33" s="398" t="s">
        <v>445</v>
      </c>
    </row>
    <row r="34" spans="1:17">
      <c r="A34" s="330"/>
      <c r="B34" s="331"/>
      <c r="C34" s="331"/>
      <c r="D34" s="331" t="s">
        <v>532</v>
      </c>
      <c r="E34" s="12">
        <v>0</v>
      </c>
      <c r="F34" s="16">
        <v>886</v>
      </c>
      <c r="G34" s="58">
        <f t="shared" si="6"/>
        <v>0</v>
      </c>
      <c r="H34" s="100">
        <f t="shared" si="7"/>
        <v>886</v>
      </c>
      <c r="Q34" s="398" t="s">
        <v>446</v>
      </c>
    </row>
    <row r="35" spans="1:17">
      <c r="A35" s="330"/>
      <c r="B35" s="331"/>
      <c r="C35" s="331"/>
      <c r="D35" s="331" t="s">
        <v>533</v>
      </c>
      <c r="E35" s="12">
        <v>0</v>
      </c>
      <c r="F35" s="16">
        <v>0</v>
      </c>
      <c r="G35" s="58">
        <f t="shared" si="6"/>
        <v>0</v>
      </c>
      <c r="H35" s="100">
        <f t="shared" si="7"/>
        <v>0</v>
      </c>
      <c r="Q35" s="398" t="s">
        <v>447</v>
      </c>
    </row>
    <row r="36" spans="1:17">
      <c r="A36" s="330"/>
      <c r="B36" s="331"/>
      <c r="C36" s="331"/>
      <c r="D36" s="331" t="s">
        <v>534</v>
      </c>
      <c r="E36" s="16">
        <v>10780</v>
      </c>
      <c r="F36" s="16">
        <v>13115</v>
      </c>
      <c r="G36" s="58">
        <f t="shared" si="6"/>
        <v>0.21660482374768097</v>
      </c>
      <c r="H36" s="100">
        <f t="shared" si="7"/>
        <v>2335</v>
      </c>
      <c r="Q36" s="398" t="s">
        <v>41</v>
      </c>
    </row>
    <row r="37" spans="1:17">
      <c r="A37" s="330"/>
      <c r="B37" s="331"/>
      <c r="C37" s="331"/>
      <c r="D37" s="331" t="s">
        <v>535</v>
      </c>
      <c r="E37" s="16">
        <v>3484</v>
      </c>
      <c r="F37" s="16">
        <v>11385</v>
      </c>
      <c r="G37" s="58">
        <f t="shared" si="6"/>
        <v>2.2677956371986223</v>
      </c>
      <c r="H37" s="100">
        <f t="shared" si="7"/>
        <v>7901</v>
      </c>
      <c r="Q37" s="398" t="s">
        <v>448</v>
      </c>
    </row>
    <row r="38" spans="1:17">
      <c r="A38" s="330"/>
      <c r="B38" s="331"/>
      <c r="C38" s="331"/>
      <c r="D38" s="331" t="s">
        <v>514</v>
      </c>
      <c r="E38" s="16">
        <v>1285</v>
      </c>
      <c r="F38" s="16">
        <v>0</v>
      </c>
      <c r="G38" s="58">
        <f t="shared" si="6"/>
        <v>-1</v>
      </c>
      <c r="H38" s="100">
        <f t="shared" si="7"/>
        <v>-1285</v>
      </c>
      <c r="Q38" s="398" t="s">
        <v>437</v>
      </c>
    </row>
    <row r="39" spans="1:17">
      <c r="A39" s="330"/>
      <c r="B39" s="331"/>
      <c r="C39" s="331"/>
      <c r="D39" s="331" t="s">
        <v>536</v>
      </c>
      <c r="E39" s="16">
        <v>1780</v>
      </c>
      <c r="F39" s="16">
        <v>1569</v>
      </c>
      <c r="G39" s="58">
        <f t="shared" si="6"/>
        <v>-0.11853932584269666</v>
      </c>
      <c r="H39" s="100">
        <f t="shared" si="7"/>
        <v>-211</v>
      </c>
      <c r="Q39" s="398" t="s">
        <v>449</v>
      </c>
    </row>
    <row r="40" spans="1:17">
      <c r="A40" s="330"/>
      <c r="B40" s="331"/>
      <c r="C40" s="331"/>
      <c r="D40" s="331" t="s">
        <v>537</v>
      </c>
      <c r="E40" s="16">
        <v>8770</v>
      </c>
      <c r="F40" s="16">
        <v>11790</v>
      </c>
      <c r="G40" s="58">
        <f t="shared" si="6"/>
        <v>0.34435575826681863</v>
      </c>
      <c r="H40" s="100">
        <f t="shared" si="7"/>
        <v>3020</v>
      </c>
      <c r="Q40" s="398" t="s">
        <v>43</v>
      </c>
    </row>
    <row r="41" spans="1:17">
      <c r="A41" s="330"/>
      <c r="B41" s="331"/>
      <c r="C41" s="331"/>
      <c r="D41" s="331" t="s">
        <v>538</v>
      </c>
      <c r="E41" s="16">
        <v>0</v>
      </c>
      <c r="F41" s="16">
        <v>0</v>
      </c>
      <c r="G41" s="58">
        <f t="shared" si="6"/>
        <v>0</v>
      </c>
      <c r="H41" s="100">
        <f t="shared" si="7"/>
        <v>0</v>
      </c>
      <c r="Q41" s="398" t="s">
        <v>450</v>
      </c>
    </row>
    <row r="42" spans="1:17">
      <c r="A42" s="330"/>
      <c r="B42" s="331"/>
      <c r="C42" s="331"/>
      <c r="D42" s="331" t="s">
        <v>539</v>
      </c>
      <c r="E42" s="16">
        <v>0</v>
      </c>
      <c r="F42" s="16">
        <v>0</v>
      </c>
      <c r="G42" s="58">
        <f t="shared" si="6"/>
        <v>0</v>
      </c>
      <c r="H42" s="100">
        <f t="shared" si="7"/>
        <v>0</v>
      </c>
      <c r="Q42" s="398" t="s">
        <v>451</v>
      </c>
    </row>
    <row r="43" spans="1:17">
      <c r="A43" s="330"/>
      <c r="B43" s="331" t="s">
        <v>540</v>
      </c>
      <c r="C43" s="3"/>
      <c r="D43" s="3"/>
      <c r="E43" s="16"/>
      <c r="F43" s="16"/>
      <c r="G43" s="58"/>
      <c r="H43" s="100"/>
    </row>
    <row r="44" spans="1:17">
      <c r="A44" s="330"/>
      <c r="B44" s="331"/>
      <c r="C44" s="331"/>
      <c r="D44" s="331" t="s">
        <v>529</v>
      </c>
      <c r="E44" s="16">
        <v>77759</v>
      </c>
      <c r="F44" s="16">
        <v>53778</v>
      </c>
      <c r="G44" s="58">
        <f t="shared" ref="G44:G53" si="8">IFERROR(F44/E44-1,0)</f>
        <v>-0.30840159981481241</v>
      </c>
      <c r="H44" s="100">
        <f t="shared" ref="H44:H53" si="9">F44-E44</f>
        <v>-23981</v>
      </c>
      <c r="Q44" s="398" t="s">
        <v>443</v>
      </c>
    </row>
    <row r="45" spans="1:17">
      <c r="A45" s="330"/>
      <c r="B45" s="331"/>
      <c r="C45" s="331"/>
      <c r="D45" s="331" t="s">
        <v>531</v>
      </c>
      <c r="E45" s="16">
        <v>1408</v>
      </c>
      <c r="F45" s="16">
        <v>1227</v>
      </c>
      <c r="G45" s="58">
        <f t="shared" si="8"/>
        <v>-0.12855113636363635</v>
      </c>
      <c r="H45" s="100">
        <f t="shared" si="9"/>
        <v>-181</v>
      </c>
      <c r="Q45" s="398" t="s">
        <v>453</v>
      </c>
    </row>
    <row r="46" spans="1:17">
      <c r="A46" s="330"/>
      <c r="B46" s="331"/>
      <c r="C46" s="331"/>
      <c r="D46" s="331" t="s">
        <v>532</v>
      </c>
      <c r="E46" s="16">
        <v>26813</v>
      </c>
      <c r="F46" s="16">
        <v>35560</v>
      </c>
      <c r="G46" s="58">
        <f t="shared" si="8"/>
        <v>0.32622235482788198</v>
      </c>
      <c r="H46" s="100">
        <f t="shared" si="9"/>
        <v>8747</v>
      </c>
      <c r="Q46" s="398" t="s">
        <v>452</v>
      </c>
    </row>
    <row r="47" spans="1:17">
      <c r="A47" s="330"/>
      <c r="B47" s="331"/>
      <c r="C47" s="331"/>
      <c r="D47" s="331" t="s">
        <v>541</v>
      </c>
      <c r="E47" s="16">
        <v>56562</v>
      </c>
      <c r="F47" s="16">
        <v>48734</v>
      </c>
      <c r="G47" s="58">
        <f t="shared" si="8"/>
        <v>-0.13839680350765526</v>
      </c>
      <c r="H47" s="100">
        <f t="shared" si="9"/>
        <v>-7828</v>
      </c>
      <c r="Q47" s="398" t="s">
        <v>454</v>
      </c>
    </row>
    <row r="48" spans="1:17">
      <c r="A48" s="330"/>
      <c r="B48" s="331"/>
      <c r="C48" s="331"/>
      <c r="D48" s="331" t="s">
        <v>514</v>
      </c>
      <c r="E48" s="16">
        <v>0</v>
      </c>
      <c r="F48" s="16">
        <v>0</v>
      </c>
      <c r="G48" s="58">
        <f t="shared" si="8"/>
        <v>0</v>
      </c>
      <c r="H48" s="100">
        <f t="shared" si="9"/>
        <v>0</v>
      </c>
      <c r="Q48" s="398" t="s">
        <v>437</v>
      </c>
    </row>
    <row r="49" spans="1:17">
      <c r="A49" s="330"/>
      <c r="B49" s="331"/>
      <c r="C49" s="331"/>
      <c r="D49" s="331" t="s">
        <v>542</v>
      </c>
      <c r="E49" s="16">
        <v>0</v>
      </c>
      <c r="F49" s="16">
        <v>0</v>
      </c>
      <c r="G49" s="58">
        <f t="shared" si="8"/>
        <v>0</v>
      </c>
      <c r="H49" s="100">
        <f t="shared" si="9"/>
        <v>0</v>
      </c>
      <c r="Q49" s="398" t="s">
        <v>455</v>
      </c>
    </row>
    <row r="50" spans="1:17">
      <c r="A50" s="330"/>
      <c r="B50" s="331"/>
      <c r="C50" s="331"/>
      <c r="D50" s="331" t="s">
        <v>403</v>
      </c>
      <c r="E50" s="16">
        <v>0</v>
      </c>
      <c r="F50" s="16">
        <v>0</v>
      </c>
      <c r="G50" s="58">
        <f t="shared" si="8"/>
        <v>0</v>
      </c>
      <c r="H50" s="100">
        <f t="shared" si="9"/>
        <v>0</v>
      </c>
      <c r="Q50" s="398" t="s">
        <v>451</v>
      </c>
    </row>
    <row r="51" spans="1:17">
      <c r="A51" s="330"/>
      <c r="B51" s="331"/>
      <c r="C51" s="331"/>
      <c r="D51" s="331" t="s">
        <v>402</v>
      </c>
      <c r="E51" s="12">
        <v>3138</v>
      </c>
      <c r="F51" s="16">
        <v>1861</v>
      </c>
      <c r="G51" s="58">
        <f t="shared" si="8"/>
        <v>-0.40694710006373491</v>
      </c>
      <c r="H51" s="100">
        <f t="shared" si="9"/>
        <v>-1277</v>
      </c>
      <c r="Q51" s="398" t="s">
        <v>456</v>
      </c>
    </row>
    <row r="52" spans="1:17">
      <c r="A52" s="330"/>
      <c r="B52" s="331"/>
      <c r="C52" s="331"/>
      <c r="D52" s="331" t="s">
        <v>405</v>
      </c>
      <c r="E52" s="16">
        <v>1709</v>
      </c>
      <c r="F52" s="16">
        <v>1709</v>
      </c>
      <c r="G52" s="58">
        <f t="shared" si="8"/>
        <v>0</v>
      </c>
      <c r="H52" s="100">
        <f t="shared" si="9"/>
        <v>0</v>
      </c>
      <c r="Q52" s="398" t="s">
        <v>450</v>
      </c>
    </row>
    <row r="53" spans="1:17">
      <c r="A53" s="330"/>
      <c r="B53" s="331"/>
      <c r="C53" s="331"/>
      <c r="D53" s="331" t="s">
        <v>537</v>
      </c>
      <c r="E53" s="16">
        <v>0</v>
      </c>
      <c r="F53" s="16">
        <v>0</v>
      </c>
      <c r="G53" s="58">
        <f t="shared" si="8"/>
        <v>0</v>
      </c>
      <c r="H53" s="100">
        <f t="shared" si="9"/>
        <v>0</v>
      </c>
      <c r="Q53" s="398" t="s">
        <v>43</v>
      </c>
    </row>
    <row r="54" spans="1:17">
      <c r="A54" s="323" t="s">
        <v>543</v>
      </c>
      <c r="B54" s="324"/>
      <c r="C54" s="324"/>
      <c r="D54" s="324"/>
      <c r="E54" s="34">
        <f>SUM(E29:E53)</f>
        <v>262936</v>
      </c>
      <c r="F54" s="34">
        <f>SUM(F29:F53)</f>
        <v>314078</v>
      </c>
      <c r="G54" s="82">
        <f>F54/E54-1</f>
        <v>0.19450360544010703</v>
      </c>
      <c r="H54" s="84">
        <f>F54-E54</f>
        <v>51142</v>
      </c>
    </row>
    <row r="55" spans="1:17">
      <c r="A55" s="330" t="s">
        <v>544</v>
      </c>
      <c r="B55" s="331"/>
      <c r="C55" s="331"/>
      <c r="D55" s="331"/>
      <c r="E55" s="50"/>
      <c r="F55" s="50"/>
      <c r="G55" s="58"/>
      <c r="H55" s="59"/>
    </row>
    <row r="56" spans="1:17">
      <c r="A56" s="330"/>
      <c r="B56" s="331" t="s">
        <v>545</v>
      </c>
      <c r="C56" s="331"/>
      <c r="D56" s="331"/>
      <c r="E56" s="16">
        <v>130583</v>
      </c>
      <c r="F56" s="16">
        <v>130583</v>
      </c>
      <c r="G56" s="58">
        <f t="shared" ref="G56:G64" si="10">IFERROR(F56/E56-1,0)</f>
        <v>0</v>
      </c>
      <c r="H56" s="100">
        <f t="shared" ref="H56:H63" si="11">F56-E56</f>
        <v>0</v>
      </c>
      <c r="Q56" s="398" t="s">
        <v>45</v>
      </c>
    </row>
    <row r="57" spans="1:17">
      <c r="A57" s="330"/>
      <c r="B57" s="331" t="s">
        <v>546</v>
      </c>
      <c r="C57" s="331"/>
      <c r="D57" s="331"/>
      <c r="E57" s="16">
        <v>-4661</v>
      </c>
      <c r="F57" s="16">
        <v>-3791</v>
      </c>
      <c r="G57" s="58">
        <f t="shared" si="10"/>
        <v>-0.18665522420081526</v>
      </c>
      <c r="H57" s="100">
        <f t="shared" si="11"/>
        <v>870</v>
      </c>
      <c r="Q57" s="398" t="s">
        <v>457</v>
      </c>
    </row>
    <row r="58" spans="1:17">
      <c r="A58" s="330"/>
      <c r="B58" s="331" t="s">
        <v>547</v>
      </c>
      <c r="C58" s="331"/>
      <c r="D58" s="331"/>
      <c r="E58" s="16">
        <v>-10870</v>
      </c>
      <c r="F58" s="16">
        <v>-10870</v>
      </c>
      <c r="G58" s="58">
        <f t="shared" si="10"/>
        <v>0</v>
      </c>
      <c r="H58" s="100">
        <f t="shared" si="11"/>
        <v>0</v>
      </c>
      <c r="Q58" s="398" t="s">
        <v>46</v>
      </c>
    </row>
    <row r="59" spans="1:17">
      <c r="A59" s="330"/>
      <c r="B59" s="331" t="s">
        <v>548</v>
      </c>
      <c r="C59" s="3"/>
      <c r="D59" s="3"/>
      <c r="E59" s="16">
        <v>172785</v>
      </c>
      <c r="F59" s="16">
        <v>134129</v>
      </c>
      <c r="G59" s="58">
        <f t="shared" si="10"/>
        <v>-0.22372312411378303</v>
      </c>
      <c r="H59" s="100">
        <f t="shared" si="11"/>
        <v>-38656</v>
      </c>
      <c r="Q59" s="398" t="s">
        <v>47</v>
      </c>
    </row>
    <row r="60" spans="1:17">
      <c r="A60" s="330"/>
      <c r="B60" s="331" t="s">
        <v>549</v>
      </c>
      <c r="C60" s="331"/>
      <c r="D60" s="331"/>
      <c r="E60" s="16">
        <v>33080</v>
      </c>
      <c r="F60" s="16">
        <v>63224</v>
      </c>
      <c r="G60" s="58">
        <f t="shared" si="10"/>
        <v>0.91124546553808949</v>
      </c>
      <c r="H60" s="100">
        <f t="shared" si="11"/>
        <v>30144</v>
      </c>
      <c r="Q60" s="398" t="s">
        <v>48</v>
      </c>
    </row>
    <row r="61" spans="1:17">
      <c r="A61" s="330"/>
      <c r="B61" s="331" t="s">
        <v>550</v>
      </c>
      <c r="C61" s="331"/>
      <c r="D61" s="331"/>
      <c r="E61" s="16">
        <v>-13858</v>
      </c>
      <c r="F61" s="16">
        <v>-15046</v>
      </c>
      <c r="G61" s="58">
        <f t="shared" si="10"/>
        <v>8.5726656083128905E-2</v>
      </c>
      <c r="H61" s="100">
        <f t="shared" si="11"/>
        <v>-1188</v>
      </c>
      <c r="I61" s="355"/>
      <c r="Q61" s="398" t="s">
        <v>49</v>
      </c>
    </row>
    <row r="62" spans="1:17">
      <c r="A62" s="330"/>
      <c r="B62" s="331" t="s">
        <v>551</v>
      </c>
      <c r="C62" s="331"/>
      <c r="D62" s="331"/>
      <c r="E62" s="16">
        <v>0</v>
      </c>
      <c r="F62" s="16">
        <v>0</v>
      </c>
      <c r="G62" s="58">
        <f t="shared" si="10"/>
        <v>0</v>
      </c>
      <c r="H62" s="100">
        <f t="shared" si="11"/>
        <v>0</v>
      </c>
      <c r="I62" s="355"/>
      <c r="Q62" s="398" t="s">
        <v>409</v>
      </c>
    </row>
    <row r="63" spans="1:17">
      <c r="A63" s="330"/>
      <c r="B63" s="3" t="s">
        <v>552</v>
      </c>
      <c r="C63" s="331"/>
      <c r="D63" s="331"/>
      <c r="E63" s="16">
        <v>95620</v>
      </c>
      <c r="F63" s="16">
        <v>112180</v>
      </c>
      <c r="G63" s="58">
        <f t="shared" si="10"/>
        <v>0.17318552604057724</v>
      </c>
      <c r="H63" s="100">
        <f t="shared" si="11"/>
        <v>16560</v>
      </c>
      <c r="I63" s="355"/>
      <c r="Q63" s="398" t="s">
        <v>419</v>
      </c>
    </row>
    <row r="64" spans="1:17">
      <c r="A64" s="330"/>
      <c r="B64" s="326" t="s">
        <v>420</v>
      </c>
      <c r="C64" s="331"/>
      <c r="D64" s="331"/>
      <c r="E64" s="16">
        <v>0</v>
      </c>
      <c r="F64" s="16">
        <v>0</v>
      </c>
      <c r="G64" s="58">
        <f t="shared" si="10"/>
        <v>0</v>
      </c>
      <c r="H64" s="100">
        <f t="shared" ref="H64" si="12">F64-E64</f>
        <v>0</v>
      </c>
      <c r="I64" s="355"/>
      <c r="Q64" s="398" t="s">
        <v>458</v>
      </c>
    </row>
    <row r="65" spans="1:8">
      <c r="A65" s="323" t="s">
        <v>553</v>
      </c>
      <c r="B65" s="324"/>
      <c r="C65" s="324"/>
      <c r="D65" s="324"/>
      <c r="E65" s="35">
        <f>SUM(E55:E64)</f>
        <v>402679</v>
      </c>
      <c r="F65" s="35">
        <f>SUM(F55:F64)</f>
        <v>410409</v>
      </c>
      <c r="G65" s="82">
        <f>F65/E65-1</f>
        <v>1.9196431897367416E-2</v>
      </c>
      <c r="H65" s="84">
        <f>F65-E65</f>
        <v>7730</v>
      </c>
    </row>
    <row r="66" spans="1:8">
      <c r="A66" s="330"/>
      <c r="B66" s="331"/>
      <c r="C66" s="331"/>
      <c r="D66" s="331"/>
      <c r="E66" s="50"/>
      <c r="F66" s="50"/>
      <c r="G66" s="58"/>
      <c r="H66" s="59"/>
    </row>
    <row r="67" spans="1:8" ht="12.75" thickBot="1">
      <c r="A67" s="334" t="s">
        <v>554</v>
      </c>
      <c r="B67" s="335"/>
      <c r="C67" s="335"/>
      <c r="D67" s="335"/>
      <c r="E67" s="36">
        <f>E65+E54</f>
        <v>665615</v>
      </c>
      <c r="F67" s="36">
        <f>F65+F54</f>
        <v>724487</v>
      </c>
      <c r="G67" s="77">
        <f>F67/E67-1</f>
        <v>8.8447525972221275E-2</v>
      </c>
      <c r="H67" s="78">
        <f>F67-E67</f>
        <v>58872</v>
      </c>
    </row>
    <row r="68" spans="1:8">
      <c r="E68" s="356">
        <v>0</v>
      </c>
      <c r="F68" s="356">
        <f>F67-F26</f>
        <v>0</v>
      </c>
    </row>
    <row r="69" spans="1:8">
      <c r="E69" s="354"/>
      <c r="F69" s="357"/>
      <c r="H69" s="358"/>
    </row>
  </sheetData>
  <pageMargins left="0.511811024" right="0.511811024" top="0.78740157499999996" bottom="0.78740157499999996" header="0.31496062000000002" footer="0.31496062000000002"/>
  <pageSetup paperSize="9" scale="42" orientation="portrait" r:id="rId1"/>
  <ignoredErrors>
    <ignoredError sqref="G43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A1:AA113"/>
  <sheetViews>
    <sheetView showGridLines="0" zoomScale="90" zoomScaleNormal="90" workbookViewId="0">
      <pane xSplit="2" ySplit="2" topLeftCell="F3" activePane="bottomRight" state="frozen"/>
      <selection activeCell="AE9" sqref="AE9"/>
      <selection pane="topRight" activeCell="AE9" sqref="AE9"/>
      <selection pane="bottomLeft" activeCell="AE9" sqref="AE9"/>
      <selection pane="bottomRight" activeCell="A2" sqref="A2:B65"/>
    </sheetView>
  </sheetViews>
  <sheetFormatPr defaultColWidth="9.140625" defaultRowHeight="15.75" customHeight="1" outlineLevelRow="1"/>
  <cols>
    <col min="1" max="1" width="2.85546875" style="3" customWidth="1"/>
    <col min="2" max="2" width="57.85546875" style="3" bestFit="1" customWidth="1"/>
    <col min="3" max="3" width="9.5703125" style="32" customWidth="1"/>
    <col min="4" max="4" width="10.140625" style="32" customWidth="1"/>
    <col min="5" max="6" width="9.140625" style="32" customWidth="1"/>
    <col min="7" max="7" width="9.140625" style="46" customWidth="1"/>
    <col min="8" max="8" width="12.140625" style="32" customWidth="1"/>
    <col min="9" max="9" width="10.85546875" style="32" customWidth="1"/>
    <col min="10" max="10" width="11.140625" style="32" customWidth="1"/>
    <col min="11" max="11" width="13.85546875" style="46" customWidth="1"/>
    <col min="12" max="12" width="13.85546875" style="32" customWidth="1"/>
    <col min="13" max="13" width="10.85546875" style="32" customWidth="1"/>
    <col min="14" max="14" width="11.140625" style="32" customWidth="1"/>
    <col min="15" max="15" width="13.85546875" style="46" customWidth="1"/>
    <col min="16" max="16" width="13.85546875" style="32" customWidth="1"/>
    <col min="17" max="17" width="10.85546875" style="32" customWidth="1"/>
    <col min="18" max="18" width="11.140625" style="32" customWidth="1"/>
    <col min="19" max="19" width="10.42578125" style="11" customWidth="1"/>
    <col min="20" max="20" width="10.5703125" style="32" customWidth="1"/>
    <col min="21" max="21" width="11.140625" style="68" customWidth="1"/>
    <col min="22" max="22" width="11" style="68" customWidth="1"/>
    <col min="23" max="23" width="13.140625" style="11" customWidth="1"/>
    <col min="24" max="24" width="6.140625" style="11" bestFit="1" customWidth="1"/>
    <col min="25" max="26" width="9.140625" style="11"/>
    <col min="27" max="27" width="9.140625" style="399"/>
    <col min="28" max="16384" width="9.140625" style="11"/>
  </cols>
  <sheetData>
    <row r="1" spans="1:27" ht="90.75" customHeight="1" thickBot="1"/>
    <row r="2" spans="1:27" ht="15.75" customHeight="1" thickBot="1">
      <c r="A2" s="327" t="s">
        <v>555</v>
      </c>
      <c r="B2" s="328"/>
      <c r="C2" s="305" t="s">
        <v>423</v>
      </c>
      <c r="D2" s="305" t="s">
        <v>427</v>
      </c>
      <c r="E2" s="305" t="s">
        <v>0</v>
      </c>
      <c r="F2" s="306" t="s">
        <v>1</v>
      </c>
      <c r="G2" s="305" t="s">
        <v>424</v>
      </c>
      <c r="H2" s="305" t="s">
        <v>428</v>
      </c>
      <c r="I2" s="305" t="s">
        <v>0</v>
      </c>
      <c r="J2" s="306" t="s">
        <v>1</v>
      </c>
      <c r="K2" s="305" t="s">
        <v>425</v>
      </c>
      <c r="L2" s="305" t="s">
        <v>429</v>
      </c>
      <c r="M2" s="305" t="s">
        <v>0</v>
      </c>
      <c r="N2" s="306" t="s">
        <v>1</v>
      </c>
      <c r="O2" s="305" t="s">
        <v>426</v>
      </c>
      <c r="P2" s="305" t="s">
        <v>430</v>
      </c>
      <c r="Q2" s="305" t="s">
        <v>0</v>
      </c>
      <c r="R2" s="306" t="s">
        <v>1</v>
      </c>
      <c r="S2" s="305">
        <v>2023</v>
      </c>
      <c r="T2" s="305">
        <v>2024</v>
      </c>
      <c r="U2" s="305" t="s">
        <v>0</v>
      </c>
      <c r="V2" s="305" t="s">
        <v>1</v>
      </c>
    </row>
    <row r="3" spans="1:27" ht="15.75" customHeight="1">
      <c r="A3" s="329" t="s">
        <v>556</v>
      </c>
      <c r="C3" s="48"/>
      <c r="D3" s="29"/>
      <c r="F3" s="33"/>
      <c r="G3" s="29"/>
      <c r="H3" s="29"/>
      <c r="J3" s="33"/>
      <c r="K3" s="29"/>
      <c r="L3" s="29"/>
      <c r="N3" s="33"/>
      <c r="O3" s="29"/>
      <c r="P3" s="29"/>
      <c r="R3" s="33"/>
      <c r="S3" s="47"/>
      <c r="T3" s="29"/>
      <c r="V3" s="69"/>
    </row>
    <row r="4" spans="1:27" s="394" customFormat="1" ht="15.75" customHeight="1" outlineLevel="1">
      <c r="A4" s="388"/>
      <c r="B4" s="389" t="s">
        <v>484</v>
      </c>
      <c r="C4" s="402">
        <v>3432</v>
      </c>
      <c r="D4" s="390">
        <v>9400</v>
      </c>
      <c r="E4" s="391">
        <f>IFERROR(D4/C4-1,"")</f>
        <v>1.7389277389277389</v>
      </c>
      <c r="F4" s="392">
        <f>D4-C4</f>
        <v>5968</v>
      </c>
      <c r="G4" s="390">
        <v>17178</v>
      </c>
      <c r="H4" s="393">
        <v>25465</v>
      </c>
      <c r="I4" s="391">
        <f>IFERROR(H4/G4-1,"")</f>
        <v>0.4824193736174176</v>
      </c>
      <c r="J4" s="392">
        <f>H4-G4</f>
        <v>8287</v>
      </c>
      <c r="K4" s="390">
        <v>15261</v>
      </c>
      <c r="L4" s="393">
        <v>14707</v>
      </c>
      <c r="M4" s="391">
        <f>IFERROR(L4/K4-1,"")</f>
        <v>-3.6301684031190606E-2</v>
      </c>
      <c r="N4" s="392">
        <f>L4-K4</f>
        <v>-554</v>
      </c>
      <c r="O4" s="393">
        <v>29361</v>
      </c>
      <c r="P4" s="393">
        <f>T4-D4-H4-L4</f>
        <v>35528</v>
      </c>
      <c r="Q4" s="391">
        <f>IFERROR(P4/O4-1,"")</f>
        <v>0.2100405299547019</v>
      </c>
      <c r="R4" s="392">
        <f>P4-O4</f>
        <v>6167</v>
      </c>
      <c r="S4" s="393">
        <f>C4+G4+K4+O4</f>
        <v>65232</v>
      </c>
      <c r="T4" s="390">
        <v>85100</v>
      </c>
      <c r="U4" s="391">
        <f>IFERROR(T4/S4-1,"")</f>
        <v>0.30457444199166051</v>
      </c>
      <c r="V4" s="392">
        <f>T4-S4</f>
        <v>19868</v>
      </c>
      <c r="X4" s="395"/>
      <c r="AA4" s="400" t="s">
        <v>9</v>
      </c>
    </row>
    <row r="5" spans="1:27" ht="15.75" customHeight="1">
      <c r="A5" s="330" t="s">
        <v>557</v>
      </c>
      <c r="B5" s="331"/>
      <c r="C5" s="13"/>
      <c r="D5" s="28"/>
      <c r="E5" s="58"/>
      <c r="F5" s="97"/>
      <c r="G5" s="96">
        <v>0</v>
      </c>
      <c r="H5" s="96">
        <v>0</v>
      </c>
      <c r="I5" s="58"/>
      <c r="J5" s="97"/>
      <c r="K5" s="96">
        <v>0</v>
      </c>
      <c r="L5" s="96">
        <v>0</v>
      </c>
      <c r="M5" s="58"/>
      <c r="N5" s="97"/>
      <c r="O5" s="96"/>
      <c r="P5" s="96"/>
      <c r="Q5" s="58"/>
      <c r="R5" s="97"/>
      <c r="S5" s="96"/>
      <c r="T5" s="101"/>
      <c r="U5" s="58"/>
      <c r="V5" s="97"/>
      <c r="X5" s="345"/>
    </row>
    <row r="6" spans="1:27" ht="15.75" customHeight="1" outlineLevel="1">
      <c r="A6" s="330"/>
      <c r="B6" s="331" t="s">
        <v>558</v>
      </c>
      <c r="C6" s="96">
        <v>2457</v>
      </c>
      <c r="D6" s="101">
        <v>2437</v>
      </c>
      <c r="E6" s="58">
        <f t="shared" ref="E6:E23" si="0">IFERROR(D6/C6-1,"")</f>
        <v>-8.1400081400081481E-3</v>
      </c>
      <c r="F6" s="97">
        <f t="shared" ref="F6:F23" si="1">D6-C6</f>
        <v>-20</v>
      </c>
      <c r="G6" s="96">
        <v>2328</v>
      </c>
      <c r="H6" s="96">
        <v>2513</v>
      </c>
      <c r="I6" s="58">
        <f t="shared" ref="I6:I23" si="2">IFERROR(H6/G6-1,"")</f>
        <v>7.9467353951889974E-2</v>
      </c>
      <c r="J6" s="97">
        <f t="shared" ref="J6:J23" si="3">H6-G6</f>
        <v>185</v>
      </c>
      <c r="K6" s="96">
        <v>2418</v>
      </c>
      <c r="L6" s="96">
        <v>2972</v>
      </c>
      <c r="M6" s="58">
        <f t="shared" ref="M6:M23" si="4">IFERROR(L6/K6-1,"")</f>
        <v>0.22911497105045497</v>
      </c>
      <c r="N6" s="97">
        <f t="shared" ref="N6:N23" si="5">L6-K6</f>
        <v>554</v>
      </c>
      <c r="O6" s="96">
        <v>2426</v>
      </c>
      <c r="P6" s="96">
        <f t="shared" ref="P6:P22" si="6">T6-D6-H6-L6</f>
        <v>2654</v>
      </c>
      <c r="Q6" s="58">
        <f t="shared" ref="Q6:Q23" si="7">IFERROR(P6/O6-1,"")</f>
        <v>9.398186314921686E-2</v>
      </c>
      <c r="R6" s="97">
        <f t="shared" ref="R6:R23" si="8">P6-O6</f>
        <v>228</v>
      </c>
      <c r="S6" s="101">
        <f t="shared" ref="S6:S35" si="9">C6+G6+K6+O6</f>
        <v>9629</v>
      </c>
      <c r="T6" s="101">
        <v>10576</v>
      </c>
      <c r="U6" s="58">
        <f t="shared" ref="U6:U23" si="10">IFERROR(T6/S6-1,"")</f>
        <v>9.8348738186727624E-2</v>
      </c>
      <c r="V6" s="97">
        <f t="shared" ref="V6:V23" si="11">T6-S6</f>
        <v>947</v>
      </c>
      <c r="X6" s="345"/>
      <c r="AA6" s="399" t="s">
        <v>11</v>
      </c>
    </row>
    <row r="7" spans="1:27" ht="15.75" customHeight="1" outlineLevel="1">
      <c r="A7" s="330"/>
      <c r="B7" s="331" t="s">
        <v>559</v>
      </c>
      <c r="C7" s="96">
        <v>0</v>
      </c>
      <c r="D7" s="101">
        <v>0</v>
      </c>
      <c r="E7" s="58" t="str">
        <f t="shared" si="0"/>
        <v/>
      </c>
      <c r="F7" s="97">
        <f t="shared" si="1"/>
        <v>0</v>
      </c>
      <c r="G7" s="96">
        <v>0</v>
      </c>
      <c r="H7" s="96">
        <v>0</v>
      </c>
      <c r="I7" s="58" t="str">
        <f t="shared" si="2"/>
        <v/>
      </c>
      <c r="J7" s="97">
        <f t="shared" si="3"/>
        <v>0</v>
      </c>
      <c r="K7" s="96">
        <v>0</v>
      </c>
      <c r="L7" s="96">
        <v>0</v>
      </c>
      <c r="M7" s="58" t="str">
        <f t="shared" si="4"/>
        <v/>
      </c>
      <c r="N7" s="97">
        <f t="shared" si="5"/>
        <v>0</v>
      </c>
      <c r="O7" s="96">
        <v>0</v>
      </c>
      <c r="P7" s="96">
        <f t="shared" si="6"/>
        <v>0</v>
      </c>
      <c r="Q7" s="58" t="str">
        <f t="shared" si="7"/>
        <v/>
      </c>
      <c r="R7" s="97">
        <f t="shared" si="8"/>
        <v>0</v>
      </c>
      <c r="S7" s="101">
        <f t="shared" si="9"/>
        <v>0</v>
      </c>
      <c r="T7" s="101">
        <v>0</v>
      </c>
      <c r="U7" s="58" t="str">
        <f t="shared" si="10"/>
        <v/>
      </c>
      <c r="V7" s="97">
        <f t="shared" si="11"/>
        <v>0</v>
      </c>
      <c r="X7" s="345"/>
      <c r="AA7" s="399" t="s">
        <v>466</v>
      </c>
    </row>
    <row r="8" spans="1:27" ht="15.75" customHeight="1" outlineLevel="1">
      <c r="A8" s="330"/>
      <c r="B8" s="331" t="s">
        <v>560</v>
      </c>
      <c r="C8" s="96">
        <v>547</v>
      </c>
      <c r="D8" s="101">
        <v>-358</v>
      </c>
      <c r="E8" s="58">
        <f t="shared" si="0"/>
        <v>-1.6544789762340035</v>
      </c>
      <c r="F8" s="97">
        <f t="shared" si="1"/>
        <v>-905</v>
      </c>
      <c r="G8" s="96">
        <v>416</v>
      </c>
      <c r="H8" s="96">
        <v>296</v>
      </c>
      <c r="I8" s="58">
        <f t="shared" si="2"/>
        <v>-0.28846153846153844</v>
      </c>
      <c r="J8" s="97">
        <f t="shared" si="3"/>
        <v>-120</v>
      </c>
      <c r="K8" s="96">
        <v>1407</v>
      </c>
      <c r="L8" s="96">
        <v>262</v>
      </c>
      <c r="M8" s="58">
        <f t="shared" si="4"/>
        <v>-0.81378820184790335</v>
      </c>
      <c r="N8" s="97">
        <f t="shared" si="5"/>
        <v>-1145</v>
      </c>
      <c r="O8" s="96">
        <v>1000</v>
      </c>
      <c r="P8" s="96">
        <f t="shared" si="6"/>
        <v>2310</v>
      </c>
      <c r="Q8" s="58">
        <f t="shared" si="7"/>
        <v>1.31</v>
      </c>
      <c r="R8" s="97">
        <f t="shared" si="8"/>
        <v>1310</v>
      </c>
      <c r="S8" s="101">
        <f t="shared" si="9"/>
        <v>3370</v>
      </c>
      <c r="T8" s="101">
        <v>2510</v>
      </c>
      <c r="U8" s="58">
        <f t="shared" si="10"/>
        <v>-0.25519287833827897</v>
      </c>
      <c r="V8" s="97">
        <f t="shared" si="11"/>
        <v>-860</v>
      </c>
      <c r="X8" s="345"/>
      <c r="AA8" s="399" t="s">
        <v>330</v>
      </c>
    </row>
    <row r="9" spans="1:27" ht="15.75" customHeight="1" outlineLevel="1">
      <c r="A9" s="330"/>
      <c r="B9" s="331" t="s">
        <v>561</v>
      </c>
      <c r="C9" s="96">
        <v>-102</v>
      </c>
      <c r="D9" s="101">
        <v>438</v>
      </c>
      <c r="E9" s="58">
        <f t="shared" si="0"/>
        <v>-5.2941176470588234</v>
      </c>
      <c r="F9" s="97">
        <f t="shared" si="1"/>
        <v>540</v>
      </c>
      <c r="G9" s="96">
        <v>410</v>
      </c>
      <c r="H9" s="96">
        <v>-307</v>
      </c>
      <c r="I9" s="58">
        <f t="shared" si="2"/>
        <v>-1.748780487804878</v>
      </c>
      <c r="J9" s="97">
        <f t="shared" si="3"/>
        <v>-717</v>
      </c>
      <c r="K9" s="96">
        <v>-1630</v>
      </c>
      <c r="L9" s="96">
        <v>1493</v>
      </c>
      <c r="M9" s="58">
        <f t="shared" si="4"/>
        <v>-1.9159509202453988</v>
      </c>
      <c r="N9" s="97">
        <f t="shared" si="5"/>
        <v>3123</v>
      </c>
      <c r="O9" s="96">
        <v>552</v>
      </c>
      <c r="P9" s="96">
        <f t="shared" si="6"/>
        <v>183</v>
      </c>
      <c r="Q9" s="58">
        <f t="shared" si="7"/>
        <v>-0.66847826086956519</v>
      </c>
      <c r="R9" s="97">
        <f t="shared" si="8"/>
        <v>-369</v>
      </c>
      <c r="S9" s="101">
        <f t="shared" si="9"/>
        <v>-770</v>
      </c>
      <c r="T9" s="101">
        <v>1807</v>
      </c>
      <c r="U9" s="58">
        <f t="shared" si="10"/>
        <v>-3.3467532467532468</v>
      </c>
      <c r="V9" s="97">
        <f t="shared" si="11"/>
        <v>2577</v>
      </c>
      <c r="X9" s="345"/>
      <c r="AA9" s="399" t="s">
        <v>459</v>
      </c>
    </row>
    <row r="10" spans="1:27" ht="15.75" customHeight="1" outlineLevel="1">
      <c r="A10" s="330"/>
      <c r="B10" s="331" t="s">
        <v>562</v>
      </c>
      <c r="C10" s="96">
        <v>0</v>
      </c>
      <c r="D10" s="101">
        <v>0</v>
      </c>
      <c r="E10" s="58" t="str">
        <f t="shared" si="0"/>
        <v/>
      </c>
      <c r="F10" s="97">
        <f t="shared" si="1"/>
        <v>0</v>
      </c>
      <c r="G10" s="96">
        <v>0</v>
      </c>
      <c r="H10" s="96">
        <v>0</v>
      </c>
      <c r="I10" s="58" t="str">
        <f t="shared" si="2"/>
        <v/>
      </c>
      <c r="J10" s="97">
        <f t="shared" si="3"/>
        <v>0</v>
      </c>
      <c r="K10" s="96">
        <v>0</v>
      </c>
      <c r="L10" s="96">
        <v>0</v>
      </c>
      <c r="M10" s="58" t="str">
        <f t="shared" si="4"/>
        <v/>
      </c>
      <c r="N10" s="97">
        <f t="shared" si="5"/>
        <v>0</v>
      </c>
      <c r="O10" s="96">
        <v>0</v>
      </c>
      <c r="P10" s="96">
        <f t="shared" si="6"/>
        <v>-1760</v>
      </c>
      <c r="Q10" s="58" t="str">
        <f t="shared" si="7"/>
        <v/>
      </c>
      <c r="R10" s="97">
        <f t="shared" si="8"/>
        <v>-1760</v>
      </c>
      <c r="S10" s="101">
        <f t="shared" si="9"/>
        <v>0</v>
      </c>
      <c r="T10" s="101">
        <v>-1760</v>
      </c>
      <c r="U10" s="58" t="str">
        <f t="shared" si="10"/>
        <v/>
      </c>
      <c r="V10" s="97">
        <f t="shared" si="11"/>
        <v>-1760</v>
      </c>
      <c r="X10" s="345"/>
      <c r="AA10" s="399" t="s">
        <v>418</v>
      </c>
    </row>
    <row r="11" spans="1:27" ht="15.75" customHeight="1" outlineLevel="1">
      <c r="A11" s="330"/>
      <c r="B11" s="331" t="s">
        <v>563</v>
      </c>
      <c r="C11" s="96">
        <v>0</v>
      </c>
      <c r="D11" s="101">
        <v>0</v>
      </c>
      <c r="E11" s="58" t="str">
        <f t="shared" si="0"/>
        <v/>
      </c>
      <c r="F11" s="97">
        <f t="shared" si="1"/>
        <v>0</v>
      </c>
      <c r="G11" s="96">
        <v>0</v>
      </c>
      <c r="H11" s="96">
        <v>0</v>
      </c>
      <c r="I11" s="58" t="str">
        <f t="shared" si="2"/>
        <v/>
      </c>
      <c r="J11" s="97">
        <f t="shared" si="3"/>
        <v>0</v>
      </c>
      <c r="K11" s="96">
        <v>0</v>
      </c>
      <c r="L11" s="96">
        <v>-1143</v>
      </c>
      <c r="M11" s="58" t="str">
        <f t="shared" si="4"/>
        <v/>
      </c>
      <c r="N11" s="97">
        <f t="shared" si="5"/>
        <v>-1143</v>
      </c>
      <c r="O11" s="96">
        <v>0</v>
      </c>
      <c r="P11" s="96">
        <f t="shared" si="6"/>
        <v>-57</v>
      </c>
      <c r="Q11" s="58" t="str">
        <f t="shared" si="7"/>
        <v/>
      </c>
      <c r="R11" s="97">
        <f t="shared" si="8"/>
        <v>-57</v>
      </c>
      <c r="S11" s="101">
        <f t="shared" si="9"/>
        <v>0</v>
      </c>
      <c r="T11" s="101">
        <v>-1200</v>
      </c>
      <c r="U11" s="58" t="str">
        <f t="shared" si="10"/>
        <v/>
      </c>
      <c r="V11" s="97">
        <f t="shared" si="11"/>
        <v>-1200</v>
      </c>
      <c r="X11" s="345"/>
      <c r="AA11" s="399" t="s">
        <v>410</v>
      </c>
    </row>
    <row r="12" spans="1:27" ht="15.75" customHeight="1" outlineLevel="1">
      <c r="A12" s="330"/>
      <c r="B12" s="331" t="s">
        <v>564</v>
      </c>
      <c r="C12" s="96">
        <v>0</v>
      </c>
      <c r="D12" s="101">
        <v>0</v>
      </c>
      <c r="E12" s="58" t="str">
        <f t="shared" si="0"/>
        <v/>
      </c>
      <c r="F12" s="97">
        <f t="shared" si="1"/>
        <v>0</v>
      </c>
      <c r="G12" s="96">
        <v>0</v>
      </c>
      <c r="H12" s="96">
        <v>0</v>
      </c>
      <c r="I12" s="58" t="str">
        <f t="shared" si="2"/>
        <v/>
      </c>
      <c r="J12" s="97">
        <f t="shared" si="3"/>
        <v>0</v>
      </c>
      <c r="K12" s="96">
        <v>-1718</v>
      </c>
      <c r="L12" s="96">
        <v>0</v>
      </c>
      <c r="M12" s="58">
        <f t="shared" si="4"/>
        <v>-1</v>
      </c>
      <c r="N12" s="97">
        <f t="shared" si="5"/>
        <v>1718</v>
      </c>
      <c r="O12" s="96">
        <v>0</v>
      </c>
      <c r="P12" s="96">
        <f t="shared" si="6"/>
        <v>0</v>
      </c>
      <c r="Q12" s="58" t="str">
        <f t="shared" si="7"/>
        <v/>
      </c>
      <c r="R12" s="97">
        <f t="shared" si="8"/>
        <v>0</v>
      </c>
      <c r="S12" s="101">
        <f t="shared" si="9"/>
        <v>-1718</v>
      </c>
      <c r="T12" s="101">
        <v>0</v>
      </c>
      <c r="U12" s="58">
        <f t="shared" si="10"/>
        <v>-1</v>
      </c>
      <c r="V12" s="97">
        <f t="shared" si="11"/>
        <v>1718</v>
      </c>
      <c r="X12" s="345"/>
      <c r="AA12" s="399" t="s">
        <v>414</v>
      </c>
    </row>
    <row r="13" spans="1:27" ht="15.75" customHeight="1" outlineLevel="1">
      <c r="A13" s="330"/>
      <c r="B13" s="331" t="s">
        <v>565</v>
      </c>
      <c r="C13" s="96">
        <v>-1082</v>
      </c>
      <c r="D13" s="311">
        <v>-5579</v>
      </c>
      <c r="E13" s="58">
        <f t="shared" si="0"/>
        <v>4.1561922365988906</v>
      </c>
      <c r="F13" s="97">
        <f t="shared" si="1"/>
        <v>-4497</v>
      </c>
      <c r="G13" s="96">
        <v>357</v>
      </c>
      <c r="H13" s="96">
        <v>-3500</v>
      </c>
      <c r="I13" s="58">
        <f t="shared" si="2"/>
        <v>-10.803921568627452</v>
      </c>
      <c r="J13" s="97">
        <f t="shared" si="3"/>
        <v>-3857</v>
      </c>
      <c r="K13" s="96">
        <v>-183</v>
      </c>
      <c r="L13" s="96">
        <v>69</v>
      </c>
      <c r="M13" s="58">
        <f t="shared" si="4"/>
        <v>-1.3770491803278688</v>
      </c>
      <c r="N13" s="97">
        <f t="shared" si="5"/>
        <v>252</v>
      </c>
      <c r="O13" s="96">
        <v>-5980</v>
      </c>
      <c r="P13" s="96">
        <f t="shared" si="6"/>
        <v>1182</v>
      </c>
      <c r="Q13" s="58">
        <f t="shared" si="7"/>
        <v>-1.1976588628762541</v>
      </c>
      <c r="R13" s="97">
        <f t="shared" si="8"/>
        <v>7162</v>
      </c>
      <c r="S13" s="101">
        <f t="shared" si="9"/>
        <v>-6888</v>
      </c>
      <c r="T13" s="101">
        <v>-7828</v>
      </c>
      <c r="U13" s="58">
        <f t="shared" si="10"/>
        <v>0.13646922183507559</v>
      </c>
      <c r="V13" s="97">
        <f t="shared" si="11"/>
        <v>-940</v>
      </c>
      <c r="X13" s="345"/>
      <c r="AA13" s="399" t="s">
        <v>44</v>
      </c>
    </row>
    <row r="14" spans="1:27" ht="15.75" customHeight="1" outlineLevel="1">
      <c r="A14" s="330"/>
      <c r="B14" s="331" t="s">
        <v>566</v>
      </c>
      <c r="C14" s="96">
        <v>-44</v>
      </c>
      <c r="D14" s="311">
        <v>1</v>
      </c>
      <c r="E14" s="58">
        <f t="shared" si="0"/>
        <v>-1.0227272727272727</v>
      </c>
      <c r="F14" s="97">
        <f t="shared" si="1"/>
        <v>45</v>
      </c>
      <c r="G14" s="96">
        <v>-1</v>
      </c>
      <c r="H14" s="96">
        <v>-43</v>
      </c>
      <c r="I14" s="58">
        <f t="shared" si="2"/>
        <v>42</v>
      </c>
      <c r="J14" s="97">
        <f t="shared" si="3"/>
        <v>-42</v>
      </c>
      <c r="K14" s="96">
        <v>-285</v>
      </c>
      <c r="L14" s="96">
        <v>-319</v>
      </c>
      <c r="M14" s="58">
        <f t="shared" si="4"/>
        <v>0.11929824561403501</v>
      </c>
      <c r="N14" s="97">
        <f t="shared" si="5"/>
        <v>-34</v>
      </c>
      <c r="O14" s="96">
        <v>157</v>
      </c>
      <c r="P14" s="96">
        <f t="shared" si="6"/>
        <v>381</v>
      </c>
      <c r="Q14" s="58">
        <f t="shared" si="7"/>
        <v>1.426751592356688</v>
      </c>
      <c r="R14" s="97">
        <f t="shared" si="8"/>
        <v>224</v>
      </c>
      <c r="S14" s="101">
        <f t="shared" si="9"/>
        <v>-173</v>
      </c>
      <c r="T14" s="101">
        <v>20</v>
      </c>
      <c r="U14" s="58">
        <f t="shared" si="10"/>
        <v>-1.1156069364161849</v>
      </c>
      <c r="V14" s="97">
        <f t="shared" si="11"/>
        <v>193</v>
      </c>
      <c r="X14" s="345"/>
      <c r="AA14" s="399" t="s">
        <v>13</v>
      </c>
    </row>
    <row r="15" spans="1:27" ht="15.75" customHeight="1" outlineLevel="1">
      <c r="A15" s="330"/>
      <c r="B15" s="331" t="s">
        <v>567</v>
      </c>
      <c r="C15" s="96">
        <v>0</v>
      </c>
      <c r="D15" s="311">
        <v>0</v>
      </c>
      <c r="E15" s="58" t="str">
        <f t="shared" si="0"/>
        <v/>
      </c>
      <c r="F15" s="97">
        <f t="shared" si="1"/>
        <v>0</v>
      </c>
      <c r="G15" s="96">
        <v>0</v>
      </c>
      <c r="H15" s="96">
        <v>0</v>
      </c>
      <c r="I15" s="58" t="str">
        <f t="shared" si="2"/>
        <v/>
      </c>
      <c r="J15" s="97">
        <f t="shared" si="3"/>
        <v>0</v>
      </c>
      <c r="K15" s="96">
        <v>0</v>
      </c>
      <c r="L15" s="96">
        <v>0</v>
      </c>
      <c r="M15" s="58" t="str">
        <f t="shared" si="4"/>
        <v/>
      </c>
      <c r="N15" s="97">
        <f t="shared" si="5"/>
        <v>0</v>
      </c>
      <c r="O15" s="96">
        <v>0</v>
      </c>
      <c r="P15" s="96">
        <f t="shared" si="6"/>
        <v>0</v>
      </c>
      <c r="Q15" s="58" t="str">
        <f t="shared" si="7"/>
        <v/>
      </c>
      <c r="R15" s="97">
        <f t="shared" si="8"/>
        <v>0</v>
      </c>
      <c r="S15" s="101">
        <f t="shared" si="9"/>
        <v>0</v>
      </c>
      <c r="T15" s="101">
        <v>0</v>
      </c>
      <c r="U15" s="58" t="str">
        <f t="shared" si="10"/>
        <v/>
      </c>
      <c r="V15" s="97">
        <f t="shared" si="11"/>
        <v>0</v>
      </c>
      <c r="X15" s="345"/>
      <c r="AA15" s="399" t="s">
        <v>460</v>
      </c>
    </row>
    <row r="16" spans="1:27" ht="15.75" customHeight="1" outlineLevel="1">
      <c r="A16" s="330"/>
      <c r="B16" s="331" t="s">
        <v>568</v>
      </c>
      <c r="C16" s="96">
        <v>0</v>
      </c>
      <c r="D16" s="311">
        <v>0</v>
      </c>
      <c r="E16" s="58" t="str">
        <f t="shared" si="0"/>
        <v/>
      </c>
      <c r="F16" s="97">
        <f t="shared" si="1"/>
        <v>0</v>
      </c>
      <c r="G16" s="96">
        <v>0</v>
      </c>
      <c r="H16" s="96">
        <v>0</v>
      </c>
      <c r="I16" s="58" t="str">
        <f t="shared" si="2"/>
        <v/>
      </c>
      <c r="J16" s="97">
        <f t="shared" si="3"/>
        <v>0</v>
      </c>
      <c r="K16" s="96">
        <v>0</v>
      </c>
      <c r="L16" s="96">
        <v>0</v>
      </c>
      <c r="M16" s="58" t="str">
        <f t="shared" si="4"/>
        <v/>
      </c>
      <c r="N16" s="97">
        <f t="shared" si="5"/>
        <v>0</v>
      </c>
      <c r="O16" s="96">
        <v>0</v>
      </c>
      <c r="P16" s="96">
        <f t="shared" si="6"/>
        <v>0</v>
      </c>
      <c r="Q16" s="58" t="str">
        <f t="shared" si="7"/>
        <v/>
      </c>
      <c r="R16" s="97">
        <f t="shared" si="8"/>
        <v>0</v>
      </c>
      <c r="S16" s="101">
        <f t="shared" si="9"/>
        <v>0</v>
      </c>
      <c r="T16" s="101">
        <v>0</v>
      </c>
      <c r="U16" s="58" t="str">
        <f t="shared" si="10"/>
        <v/>
      </c>
      <c r="V16" s="97">
        <f t="shared" si="11"/>
        <v>0</v>
      </c>
      <c r="X16" s="345"/>
      <c r="AA16" s="399" t="s">
        <v>413</v>
      </c>
    </row>
    <row r="17" spans="1:27" ht="15.75" customHeight="1" outlineLevel="1">
      <c r="A17" s="330"/>
      <c r="B17" s="331" t="s">
        <v>569</v>
      </c>
      <c r="C17" s="96">
        <v>4950</v>
      </c>
      <c r="D17" s="311">
        <v>3483</v>
      </c>
      <c r="E17" s="58">
        <f t="shared" si="0"/>
        <v>-0.29636363636363638</v>
      </c>
      <c r="F17" s="97">
        <f t="shared" si="1"/>
        <v>-1467</v>
      </c>
      <c r="G17" s="96">
        <v>4711</v>
      </c>
      <c r="H17" s="96">
        <v>2826</v>
      </c>
      <c r="I17" s="58">
        <f t="shared" si="2"/>
        <v>-0.40012736149437489</v>
      </c>
      <c r="J17" s="97">
        <f t="shared" si="3"/>
        <v>-1885</v>
      </c>
      <c r="K17" s="96">
        <v>4284</v>
      </c>
      <c r="L17" s="96">
        <v>3554</v>
      </c>
      <c r="M17" s="58">
        <f t="shared" si="4"/>
        <v>-0.17040149393090565</v>
      </c>
      <c r="N17" s="97">
        <f t="shared" si="5"/>
        <v>-730</v>
      </c>
      <c r="O17" s="96">
        <v>3787</v>
      </c>
      <c r="P17" s="96">
        <f t="shared" si="6"/>
        <v>2472</v>
      </c>
      <c r="Q17" s="58">
        <f t="shared" si="7"/>
        <v>-0.34724055980987589</v>
      </c>
      <c r="R17" s="97">
        <f t="shared" si="8"/>
        <v>-1315</v>
      </c>
      <c r="S17" s="101">
        <f t="shared" si="9"/>
        <v>17732</v>
      </c>
      <c r="T17" s="101">
        <v>12335</v>
      </c>
      <c r="U17" s="58">
        <f t="shared" si="10"/>
        <v>-0.30436498984886085</v>
      </c>
      <c r="V17" s="97">
        <f t="shared" si="11"/>
        <v>-5397</v>
      </c>
      <c r="X17" s="345"/>
      <c r="AA17" s="399" t="s">
        <v>14</v>
      </c>
    </row>
    <row r="18" spans="1:27" ht="15.75" customHeight="1" outlineLevel="1">
      <c r="A18" s="332"/>
      <c r="B18" s="331" t="s">
        <v>570</v>
      </c>
      <c r="C18" s="96">
        <v>-151</v>
      </c>
      <c r="D18" s="311">
        <v>113</v>
      </c>
      <c r="E18" s="58">
        <f t="shared" si="0"/>
        <v>-1.7483443708609272</v>
      </c>
      <c r="F18" s="97">
        <f t="shared" si="1"/>
        <v>264</v>
      </c>
      <c r="G18" s="96">
        <v>-130</v>
      </c>
      <c r="H18" s="96">
        <v>102</v>
      </c>
      <c r="I18" s="58">
        <f t="shared" si="2"/>
        <v>-1.7846153846153845</v>
      </c>
      <c r="J18" s="97">
        <f t="shared" si="3"/>
        <v>232</v>
      </c>
      <c r="K18" s="96">
        <v>569</v>
      </c>
      <c r="L18" s="96">
        <v>286</v>
      </c>
      <c r="M18" s="58">
        <f t="shared" si="4"/>
        <v>-0.49736379613356763</v>
      </c>
      <c r="N18" s="97">
        <f t="shared" si="5"/>
        <v>-283</v>
      </c>
      <c r="O18" s="96">
        <v>117</v>
      </c>
      <c r="P18" s="96">
        <f t="shared" si="6"/>
        <v>4381</v>
      </c>
      <c r="Q18" s="58">
        <f t="shared" si="7"/>
        <v>36.444444444444443</v>
      </c>
      <c r="R18" s="97">
        <f t="shared" si="8"/>
        <v>4264</v>
      </c>
      <c r="S18" s="101">
        <f t="shared" si="9"/>
        <v>405</v>
      </c>
      <c r="T18" s="101">
        <v>4882</v>
      </c>
      <c r="U18" s="58">
        <f t="shared" si="10"/>
        <v>11.054320987654322</v>
      </c>
      <c r="V18" s="97">
        <f t="shared" si="11"/>
        <v>4477</v>
      </c>
      <c r="X18" s="345"/>
      <c r="AA18" s="399" t="s">
        <v>412</v>
      </c>
    </row>
    <row r="19" spans="1:27" ht="15.75" customHeight="1" outlineLevel="1">
      <c r="A19" s="332"/>
      <c r="B19" s="331" t="s">
        <v>514</v>
      </c>
      <c r="C19" s="96">
        <v>704</v>
      </c>
      <c r="D19" s="311">
        <v>-1121</v>
      </c>
      <c r="E19" s="58">
        <f t="shared" si="0"/>
        <v>-2.5923295454545454</v>
      </c>
      <c r="F19" s="97">
        <f t="shared" si="1"/>
        <v>-1825</v>
      </c>
      <c r="G19" s="96">
        <v>452</v>
      </c>
      <c r="H19" s="96">
        <v>-3232</v>
      </c>
      <c r="I19" s="58">
        <f t="shared" si="2"/>
        <v>-8.1504424778761049</v>
      </c>
      <c r="J19" s="97">
        <f t="shared" si="3"/>
        <v>-3684</v>
      </c>
      <c r="K19" s="96">
        <v>-2236</v>
      </c>
      <c r="L19" s="96">
        <v>3665</v>
      </c>
      <c r="M19" s="58">
        <f t="shared" si="4"/>
        <v>-2.6390876565295169</v>
      </c>
      <c r="N19" s="97">
        <f t="shared" si="5"/>
        <v>5901</v>
      </c>
      <c r="O19" s="96">
        <v>1891</v>
      </c>
      <c r="P19" s="96">
        <f t="shared" si="6"/>
        <v>-8179</v>
      </c>
      <c r="Q19" s="58">
        <f t="shared" si="7"/>
        <v>-5.325224748810153</v>
      </c>
      <c r="R19" s="97">
        <f t="shared" si="8"/>
        <v>-10070</v>
      </c>
      <c r="S19" s="101">
        <f t="shared" si="9"/>
        <v>811</v>
      </c>
      <c r="T19" s="101">
        <v>-8867</v>
      </c>
      <c r="U19" s="58">
        <f t="shared" si="10"/>
        <v>-11.933415536374845</v>
      </c>
      <c r="V19" s="97">
        <f t="shared" si="11"/>
        <v>-9678</v>
      </c>
      <c r="X19" s="345"/>
      <c r="AA19" s="399" t="s">
        <v>407</v>
      </c>
    </row>
    <row r="20" spans="1:27" ht="15.75" customHeight="1" outlineLevel="1">
      <c r="A20" s="332"/>
      <c r="B20" s="333" t="s">
        <v>571</v>
      </c>
      <c r="C20" s="96">
        <v>449</v>
      </c>
      <c r="D20" s="311">
        <v>996</v>
      </c>
      <c r="E20" s="58">
        <f t="shared" si="0"/>
        <v>1.2182628062360803</v>
      </c>
      <c r="F20" s="97">
        <f t="shared" si="1"/>
        <v>547</v>
      </c>
      <c r="G20" s="96">
        <v>1044</v>
      </c>
      <c r="H20" s="96">
        <v>859</v>
      </c>
      <c r="I20" s="58">
        <f t="shared" si="2"/>
        <v>-0.17720306513409967</v>
      </c>
      <c r="J20" s="97">
        <f t="shared" si="3"/>
        <v>-185</v>
      </c>
      <c r="K20" s="96">
        <v>2028</v>
      </c>
      <c r="L20" s="96">
        <v>699</v>
      </c>
      <c r="M20" s="58">
        <f t="shared" si="4"/>
        <v>-0.65532544378698221</v>
      </c>
      <c r="N20" s="97">
        <f t="shared" si="5"/>
        <v>-1329</v>
      </c>
      <c r="O20" s="96">
        <v>1753</v>
      </c>
      <c r="P20" s="96">
        <f t="shared" si="6"/>
        <v>687</v>
      </c>
      <c r="Q20" s="58">
        <f t="shared" si="7"/>
        <v>-0.60810039931545923</v>
      </c>
      <c r="R20" s="97">
        <f t="shared" si="8"/>
        <v>-1066</v>
      </c>
      <c r="S20" s="101">
        <f t="shared" si="9"/>
        <v>5274</v>
      </c>
      <c r="T20" s="101">
        <v>3241</v>
      </c>
      <c r="U20" s="58">
        <f t="shared" si="10"/>
        <v>-0.38547591960561245</v>
      </c>
      <c r="V20" s="97">
        <f t="shared" si="11"/>
        <v>-2033</v>
      </c>
      <c r="X20" s="345"/>
      <c r="AA20" s="399" t="s">
        <v>15</v>
      </c>
    </row>
    <row r="21" spans="1:27" ht="15.75" customHeight="1" outlineLevel="1">
      <c r="A21" s="332"/>
      <c r="B21" s="333" t="s">
        <v>572</v>
      </c>
      <c r="C21" s="96">
        <v>0</v>
      </c>
      <c r="D21" s="311">
        <v>0</v>
      </c>
      <c r="E21" s="70" t="str">
        <f t="shared" si="0"/>
        <v/>
      </c>
      <c r="F21" s="97">
        <f t="shared" si="1"/>
        <v>0</v>
      </c>
      <c r="G21" s="96">
        <v>0</v>
      </c>
      <c r="H21" s="96">
        <v>0</v>
      </c>
      <c r="I21" s="70" t="str">
        <f t="shared" si="2"/>
        <v/>
      </c>
      <c r="J21" s="97">
        <f t="shared" si="3"/>
        <v>0</v>
      </c>
      <c r="K21" s="96">
        <v>0</v>
      </c>
      <c r="L21" s="96">
        <v>0</v>
      </c>
      <c r="M21" s="70" t="str">
        <f t="shared" si="4"/>
        <v/>
      </c>
      <c r="N21" s="97">
        <f t="shared" si="5"/>
        <v>0</v>
      </c>
      <c r="O21" s="96">
        <v>0</v>
      </c>
      <c r="P21" s="96">
        <f t="shared" si="6"/>
        <v>0</v>
      </c>
      <c r="Q21" s="70" t="str">
        <f t="shared" si="7"/>
        <v/>
      </c>
      <c r="R21" s="97">
        <f t="shared" si="8"/>
        <v>0</v>
      </c>
      <c r="S21" s="96">
        <f t="shared" si="9"/>
        <v>0</v>
      </c>
      <c r="T21" s="101">
        <v>0</v>
      </c>
      <c r="U21" s="70" t="str">
        <f t="shared" si="10"/>
        <v/>
      </c>
      <c r="V21" s="97">
        <f t="shared" si="11"/>
        <v>0</v>
      </c>
      <c r="X21" s="345"/>
      <c r="AA21" s="399" t="s">
        <v>466</v>
      </c>
    </row>
    <row r="22" spans="1:27" ht="15.75" customHeight="1" outlineLevel="1">
      <c r="A22" s="332"/>
      <c r="B22" s="333" t="s">
        <v>573</v>
      </c>
      <c r="C22" s="96">
        <v>252</v>
      </c>
      <c r="D22" s="311">
        <v>-82</v>
      </c>
      <c r="E22" s="70">
        <f t="shared" si="0"/>
        <v>-1.3253968253968254</v>
      </c>
      <c r="F22" s="97">
        <f t="shared" si="1"/>
        <v>-334</v>
      </c>
      <c r="G22" s="96">
        <v>-11</v>
      </c>
      <c r="H22" s="96">
        <v>-380</v>
      </c>
      <c r="I22" s="70">
        <f t="shared" si="2"/>
        <v>33.545454545454547</v>
      </c>
      <c r="J22" s="97">
        <f t="shared" si="3"/>
        <v>-369</v>
      </c>
      <c r="K22" s="96">
        <v>-178</v>
      </c>
      <c r="L22" s="96">
        <v>65</v>
      </c>
      <c r="M22" s="70">
        <f t="shared" si="4"/>
        <v>-1.3651685393258428</v>
      </c>
      <c r="N22" s="97">
        <f t="shared" si="5"/>
        <v>243</v>
      </c>
      <c r="O22" s="96">
        <v>233</v>
      </c>
      <c r="P22" s="96">
        <f t="shared" si="6"/>
        <v>-753</v>
      </c>
      <c r="Q22" s="70">
        <f t="shared" si="7"/>
        <v>-4.2317596566523603</v>
      </c>
      <c r="R22" s="97">
        <f t="shared" si="8"/>
        <v>-986</v>
      </c>
      <c r="S22" s="96">
        <f t="shared" si="9"/>
        <v>296</v>
      </c>
      <c r="T22" s="101">
        <v>-1150</v>
      </c>
      <c r="U22" s="70">
        <f t="shared" si="10"/>
        <v>-4.8851351351351351</v>
      </c>
      <c r="V22" s="97">
        <f t="shared" si="11"/>
        <v>-1446</v>
      </c>
      <c r="W22" s="345"/>
      <c r="X22" s="345"/>
      <c r="Y22" s="345"/>
      <c r="AA22" s="399" t="s">
        <v>16</v>
      </c>
    </row>
    <row r="23" spans="1:27" ht="15.75" customHeight="1" outlineLevel="1">
      <c r="A23" s="336"/>
      <c r="B23" s="337"/>
      <c r="C23" s="18">
        <v>11412</v>
      </c>
      <c r="D23" s="18">
        <v>9728</v>
      </c>
      <c r="E23" s="72">
        <f t="shared" si="0"/>
        <v>-0.14756396775324221</v>
      </c>
      <c r="F23" s="98">
        <f t="shared" si="1"/>
        <v>-1684</v>
      </c>
      <c r="G23" s="18">
        <v>26754</v>
      </c>
      <c r="H23" s="18">
        <v>24599</v>
      </c>
      <c r="I23" s="72">
        <f t="shared" si="2"/>
        <v>-8.0548702997682575E-2</v>
      </c>
      <c r="J23" s="98">
        <f t="shared" si="3"/>
        <v>-2155</v>
      </c>
      <c r="K23" s="18">
        <f>SUM(K4:K22)</f>
        <v>19737</v>
      </c>
      <c r="L23" s="18">
        <v>26310</v>
      </c>
      <c r="M23" s="72">
        <f t="shared" si="4"/>
        <v>0.33302933576531379</v>
      </c>
      <c r="N23" s="98">
        <f t="shared" si="5"/>
        <v>6573</v>
      </c>
      <c r="O23" s="18">
        <v>35297</v>
      </c>
      <c r="P23" s="18">
        <f t="shared" ref="P23" si="12">SUM(P4:P22)</f>
        <v>39029</v>
      </c>
      <c r="Q23" s="72">
        <f t="shared" si="7"/>
        <v>0.10573136527183613</v>
      </c>
      <c r="R23" s="98">
        <f t="shared" si="8"/>
        <v>3732</v>
      </c>
      <c r="S23" s="18">
        <f t="shared" si="9"/>
        <v>93200</v>
      </c>
      <c r="T23" s="18">
        <f>SUM(T4:T22)</f>
        <v>99666</v>
      </c>
      <c r="U23" s="72">
        <f t="shared" si="10"/>
        <v>6.937768240343356E-2</v>
      </c>
      <c r="V23" s="98">
        <f t="shared" si="11"/>
        <v>6466</v>
      </c>
      <c r="X23" s="345"/>
    </row>
    <row r="24" spans="1:27" ht="20.25" customHeight="1">
      <c r="A24" s="329" t="s">
        <v>574</v>
      </c>
      <c r="C24" s="15"/>
      <c r="D24" s="24"/>
      <c r="E24" s="58"/>
      <c r="F24" s="59"/>
      <c r="G24" s="46">
        <v>0</v>
      </c>
      <c r="H24" s="46">
        <v>0</v>
      </c>
      <c r="I24" s="58"/>
      <c r="J24" s="59"/>
      <c r="K24" s="46">
        <v>0</v>
      </c>
      <c r="L24" s="46">
        <v>0</v>
      </c>
      <c r="M24" s="58"/>
      <c r="N24" s="59"/>
      <c r="P24" s="46"/>
      <c r="Q24" s="58"/>
      <c r="R24" s="59"/>
      <c r="S24" s="46"/>
      <c r="T24" s="24"/>
      <c r="U24" s="58"/>
      <c r="V24" s="59"/>
      <c r="X24" s="345"/>
    </row>
    <row r="25" spans="1:27" ht="15.75" customHeight="1" outlineLevel="1">
      <c r="A25" s="329"/>
      <c r="B25" s="331" t="s">
        <v>575</v>
      </c>
      <c r="C25" s="15"/>
      <c r="D25" s="15"/>
      <c r="E25" s="58" t="str">
        <f t="shared" ref="E25:E36" si="13">IFERROR(D25/C25-1,"")</f>
        <v/>
      </c>
      <c r="F25" s="59">
        <f t="shared" ref="F25:F36" si="14">D25-C25</f>
        <v>0</v>
      </c>
      <c r="G25" s="96">
        <v>0</v>
      </c>
      <c r="H25" s="96">
        <v>0</v>
      </c>
      <c r="I25" s="58" t="str">
        <f t="shared" ref="I25:I36" si="15">IFERROR(H25/G25-1,"")</f>
        <v/>
      </c>
      <c r="J25" s="59">
        <f t="shared" ref="J25:J36" si="16">H25-G25</f>
        <v>0</v>
      </c>
      <c r="K25" s="96">
        <v>0</v>
      </c>
      <c r="L25" s="96">
        <v>0</v>
      </c>
      <c r="M25" s="58" t="str">
        <f t="shared" ref="M25:M36" si="17">IFERROR(L25/K25-1,"")</f>
        <v/>
      </c>
      <c r="N25" s="59">
        <f t="shared" ref="N25:N36" si="18">L25-K25</f>
        <v>0</v>
      </c>
      <c r="O25" s="96">
        <v>0</v>
      </c>
      <c r="P25" s="96">
        <f t="shared" ref="P25:P34" si="19">T25-D25-H25-L25</f>
        <v>0</v>
      </c>
      <c r="Q25" s="58" t="str">
        <f t="shared" ref="Q25:Q36" si="20">IFERROR(P25/O25-1,"")</f>
        <v/>
      </c>
      <c r="R25" s="59">
        <f t="shared" ref="R25:R36" si="21">P25-O25</f>
        <v>0</v>
      </c>
      <c r="S25" s="96">
        <f t="shared" si="9"/>
        <v>0</v>
      </c>
      <c r="T25" s="15">
        <v>0</v>
      </c>
      <c r="U25" s="58" t="str">
        <f t="shared" ref="U25:U36" si="22">IFERROR(T25/S25-1,"")</f>
        <v/>
      </c>
      <c r="V25" s="59">
        <f t="shared" ref="V25:V36" si="23">T25-S25</f>
        <v>0</v>
      </c>
      <c r="W25" s="104"/>
      <c r="X25" s="345"/>
      <c r="AA25" s="399" t="s">
        <v>466</v>
      </c>
    </row>
    <row r="26" spans="1:27" ht="15.75" customHeight="1" outlineLevel="1">
      <c r="A26" s="330"/>
      <c r="B26" s="331" t="s">
        <v>576</v>
      </c>
      <c r="C26" s="96">
        <v>19550</v>
      </c>
      <c r="D26" s="96">
        <v>15538</v>
      </c>
      <c r="E26" s="58">
        <f t="shared" si="13"/>
        <v>-0.2052173913043478</v>
      </c>
      <c r="F26" s="97">
        <f t="shared" si="14"/>
        <v>-4012</v>
      </c>
      <c r="G26" s="96">
        <v>-6369</v>
      </c>
      <c r="H26" s="96">
        <v>-17592</v>
      </c>
      <c r="I26" s="58">
        <f t="shared" si="15"/>
        <v>1.7621290626471975</v>
      </c>
      <c r="J26" s="97">
        <f t="shared" si="16"/>
        <v>-11223</v>
      </c>
      <c r="K26" s="96">
        <v>6503</v>
      </c>
      <c r="L26" s="96">
        <v>2106</v>
      </c>
      <c r="M26" s="58">
        <f t="shared" si="17"/>
        <v>-0.67614946947562671</v>
      </c>
      <c r="N26" s="97">
        <f t="shared" si="18"/>
        <v>-4397</v>
      </c>
      <c r="O26" s="96">
        <v>-22841</v>
      </c>
      <c r="P26" s="96">
        <f t="shared" si="19"/>
        <v>-38734</v>
      </c>
      <c r="Q26" s="58">
        <f t="shared" si="20"/>
        <v>0.69581016592968781</v>
      </c>
      <c r="R26" s="97">
        <f t="shared" si="21"/>
        <v>-15893</v>
      </c>
      <c r="S26" s="96">
        <f t="shared" si="9"/>
        <v>-3157</v>
      </c>
      <c r="T26" s="101">
        <v>-38682</v>
      </c>
      <c r="U26" s="58">
        <f t="shared" si="22"/>
        <v>11.252771618625276</v>
      </c>
      <c r="V26" s="97">
        <f t="shared" si="23"/>
        <v>-35525</v>
      </c>
      <c r="W26" s="298"/>
      <c r="X26" s="345"/>
      <c r="Y26"/>
      <c r="Z26" s="345"/>
      <c r="AA26" s="399" t="s">
        <v>348</v>
      </c>
    </row>
    <row r="27" spans="1:27" ht="15.75" customHeight="1" outlineLevel="1">
      <c r="A27" s="330"/>
      <c r="B27" s="331" t="s">
        <v>577</v>
      </c>
      <c r="C27" s="96">
        <v>-3883</v>
      </c>
      <c r="D27" s="96">
        <v>-3423</v>
      </c>
      <c r="E27" s="58">
        <f t="shared" si="13"/>
        <v>-0.11846510430079837</v>
      </c>
      <c r="F27" s="97">
        <f t="shared" si="14"/>
        <v>460</v>
      </c>
      <c r="G27" s="96">
        <v>3092</v>
      </c>
      <c r="H27" s="96">
        <v>8028</v>
      </c>
      <c r="I27" s="58">
        <f t="shared" si="15"/>
        <v>1.5963777490297542</v>
      </c>
      <c r="J27" s="97">
        <f t="shared" si="16"/>
        <v>4936</v>
      </c>
      <c r="K27" s="96">
        <v>-12038</v>
      </c>
      <c r="L27" s="96">
        <v>-33356</v>
      </c>
      <c r="M27" s="58">
        <f t="shared" si="17"/>
        <v>1.7708921747798638</v>
      </c>
      <c r="N27" s="97">
        <f t="shared" si="18"/>
        <v>-21318</v>
      </c>
      <c r="O27" s="96">
        <v>11436</v>
      </c>
      <c r="P27" s="96">
        <f t="shared" si="19"/>
        <v>2590</v>
      </c>
      <c r="Q27" s="58">
        <f t="shared" si="20"/>
        <v>-0.77352221056313397</v>
      </c>
      <c r="R27" s="97">
        <f t="shared" si="21"/>
        <v>-8846</v>
      </c>
      <c r="S27" s="96">
        <f t="shared" si="9"/>
        <v>-1393</v>
      </c>
      <c r="T27" s="101">
        <v>-26161</v>
      </c>
      <c r="U27" s="58">
        <f t="shared" si="22"/>
        <v>17.780330222541277</v>
      </c>
      <c r="V27" s="97">
        <f t="shared" si="23"/>
        <v>-24768</v>
      </c>
      <c r="W27"/>
      <c r="X27" s="345"/>
      <c r="Y27"/>
      <c r="AA27" s="399" t="s">
        <v>18</v>
      </c>
    </row>
    <row r="28" spans="1:27" ht="15.75" customHeight="1" outlineLevel="1">
      <c r="A28" s="330"/>
      <c r="B28" s="331" t="s">
        <v>578</v>
      </c>
      <c r="C28" s="96">
        <v>8281</v>
      </c>
      <c r="D28" s="96">
        <v>2599</v>
      </c>
      <c r="E28" s="58">
        <f t="shared" si="13"/>
        <v>-0.68614901581934551</v>
      </c>
      <c r="F28" s="97">
        <f t="shared" si="14"/>
        <v>-5682</v>
      </c>
      <c r="G28" s="101">
        <v>-716</v>
      </c>
      <c r="H28" s="96">
        <v>684</v>
      </c>
      <c r="I28" s="58">
        <f t="shared" si="15"/>
        <v>-1.9553072625698324</v>
      </c>
      <c r="J28" s="97">
        <f t="shared" si="16"/>
        <v>1400</v>
      </c>
      <c r="K28" s="101">
        <v>-6131</v>
      </c>
      <c r="L28" s="96">
        <v>1918</v>
      </c>
      <c r="M28" s="58">
        <f t="shared" si="17"/>
        <v>-1.3128364051541348</v>
      </c>
      <c r="N28" s="97">
        <f t="shared" si="18"/>
        <v>8049</v>
      </c>
      <c r="O28" s="96">
        <v>-1434</v>
      </c>
      <c r="P28" s="96">
        <f t="shared" si="19"/>
        <v>-5201</v>
      </c>
      <c r="Q28" s="58">
        <f t="shared" si="20"/>
        <v>2.6269177126917711</v>
      </c>
      <c r="R28" s="97">
        <f t="shared" si="21"/>
        <v>-3767</v>
      </c>
      <c r="S28" s="96">
        <f t="shared" si="9"/>
        <v>0</v>
      </c>
      <c r="T28" s="404">
        <v>0</v>
      </c>
      <c r="U28" s="58" t="str">
        <f t="shared" si="22"/>
        <v/>
      </c>
      <c r="V28" s="97">
        <f t="shared" si="23"/>
        <v>0</v>
      </c>
      <c r="W28"/>
      <c r="X28" s="345"/>
      <c r="Y28"/>
      <c r="AA28" s="399" t="s">
        <v>19</v>
      </c>
    </row>
    <row r="29" spans="1:27" ht="15.75" customHeight="1" outlineLevel="1">
      <c r="A29" s="330"/>
      <c r="B29" s="331" t="s">
        <v>579</v>
      </c>
      <c r="C29" s="96">
        <v>-6171</v>
      </c>
      <c r="D29" s="96">
        <v>-1608</v>
      </c>
      <c r="E29" s="58">
        <f t="shared" si="13"/>
        <v>-0.73942634905201743</v>
      </c>
      <c r="F29" s="97">
        <f t="shared" si="14"/>
        <v>4563</v>
      </c>
      <c r="G29" s="96">
        <v>-2988</v>
      </c>
      <c r="H29" s="96">
        <v>-1035</v>
      </c>
      <c r="I29" s="58">
        <f t="shared" si="15"/>
        <v>-0.65361445783132532</v>
      </c>
      <c r="J29" s="97">
        <f t="shared" si="16"/>
        <v>1953</v>
      </c>
      <c r="K29" s="96">
        <v>757</v>
      </c>
      <c r="L29" s="96">
        <v>-175</v>
      </c>
      <c r="M29" s="58">
        <f t="shared" si="17"/>
        <v>-1.2311756935270806</v>
      </c>
      <c r="N29" s="97">
        <f t="shared" si="18"/>
        <v>-932</v>
      </c>
      <c r="O29" s="96">
        <v>1562</v>
      </c>
      <c r="P29" s="96">
        <f t="shared" si="19"/>
        <v>1462</v>
      </c>
      <c r="Q29" s="58">
        <f t="shared" si="20"/>
        <v>-6.4020486555697809E-2</v>
      </c>
      <c r="R29" s="97">
        <f t="shared" si="21"/>
        <v>-100</v>
      </c>
      <c r="S29" s="96">
        <f t="shared" si="9"/>
        <v>-6840</v>
      </c>
      <c r="T29" s="101">
        <v>-1356</v>
      </c>
      <c r="U29" s="58">
        <f t="shared" si="22"/>
        <v>-0.80175438596491233</v>
      </c>
      <c r="V29" s="97">
        <f t="shared" si="23"/>
        <v>5484</v>
      </c>
      <c r="W29"/>
      <c r="X29" s="345"/>
      <c r="Y29"/>
      <c r="AA29" s="399" t="s">
        <v>52</v>
      </c>
    </row>
    <row r="30" spans="1:27" ht="15.75" customHeight="1" outlineLevel="1">
      <c r="A30" s="330"/>
      <c r="B30" s="331" t="s">
        <v>580</v>
      </c>
      <c r="C30" s="96">
        <v>981</v>
      </c>
      <c r="D30" s="96">
        <v>-3939</v>
      </c>
      <c r="E30" s="58">
        <f t="shared" si="13"/>
        <v>-5.0152905198776763</v>
      </c>
      <c r="F30" s="97">
        <f t="shared" si="14"/>
        <v>-4920</v>
      </c>
      <c r="G30" s="96">
        <v>4750</v>
      </c>
      <c r="H30" s="96">
        <v>-5319</v>
      </c>
      <c r="I30" s="58">
        <f t="shared" si="15"/>
        <v>-2.1197894736842104</v>
      </c>
      <c r="J30" s="97">
        <f t="shared" si="16"/>
        <v>-10069</v>
      </c>
      <c r="K30" s="96">
        <v>8046</v>
      </c>
      <c r="L30" s="96">
        <v>30982</v>
      </c>
      <c r="M30" s="58">
        <f t="shared" si="17"/>
        <v>2.8506089982600051</v>
      </c>
      <c r="N30" s="97">
        <f t="shared" si="18"/>
        <v>22936</v>
      </c>
      <c r="O30" s="96">
        <v>-4248</v>
      </c>
      <c r="P30" s="96">
        <f t="shared" si="19"/>
        <v>8736</v>
      </c>
      <c r="Q30" s="58">
        <f t="shared" si="20"/>
        <v>-3.0564971751412431</v>
      </c>
      <c r="R30" s="97">
        <f t="shared" si="21"/>
        <v>12984</v>
      </c>
      <c r="S30" s="96">
        <f t="shared" si="9"/>
        <v>9529</v>
      </c>
      <c r="T30" s="101">
        <v>30460</v>
      </c>
      <c r="U30" s="58">
        <f t="shared" si="22"/>
        <v>2.1965578759576032</v>
      </c>
      <c r="V30" s="97">
        <f t="shared" si="23"/>
        <v>20931</v>
      </c>
      <c r="W30"/>
      <c r="X30" s="345"/>
      <c r="Y30" s="397"/>
      <c r="AA30" s="399" t="s">
        <v>20</v>
      </c>
    </row>
    <row r="31" spans="1:27" ht="15.75" customHeight="1" outlineLevel="1">
      <c r="A31" s="330"/>
      <c r="B31" s="331" t="s">
        <v>581</v>
      </c>
      <c r="C31" s="96">
        <v>-3616</v>
      </c>
      <c r="D31" s="96">
        <v>-2739</v>
      </c>
      <c r="E31" s="58">
        <f t="shared" si="13"/>
        <v>-0.24253318584070793</v>
      </c>
      <c r="F31" s="97">
        <f t="shared" si="14"/>
        <v>877</v>
      </c>
      <c r="G31" s="96">
        <v>1631</v>
      </c>
      <c r="H31" s="96">
        <v>2464</v>
      </c>
      <c r="I31" s="58">
        <f t="shared" si="15"/>
        <v>0.51072961373390569</v>
      </c>
      <c r="J31" s="97">
        <f t="shared" si="16"/>
        <v>833</v>
      </c>
      <c r="K31" s="96">
        <v>2221</v>
      </c>
      <c r="L31" s="96">
        <v>2531</v>
      </c>
      <c r="M31" s="58">
        <f t="shared" si="17"/>
        <v>0.1395767672219721</v>
      </c>
      <c r="N31" s="97">
        <f t="shared" si="18"/>
        <v>310</v>
      </c>
      <c r="O31" s="96">
        <v>-853</v>
      </c>
      <c r="P31" s="96">
        <f t="shared" si="19"/>
        <v>79</v>
      </c>
      <c r="Q31" s="58">
        <f t="shared" si="20"/>
        <v>-1.0926143024618993</v>
      </c>
      <c r="R31" s="97">
        <f t="shared" si="21"/>
        <v>932</v>
      </c>
      <c r="S31" s="96">
        <f t="shared" si="9"/>
        <v>-617</v>
      </c>
      <c r="T31" s="101">
        <v>2335</v>
      </c>
      <c r="U31" s="58">
        <f t="shared" si="22"/>
        <v>-4.7844408427876823</v>
      </c>
      <c r="V31" s="97">
        <f t="shared" si="23"/>
        <v>2952</v>
      </c>
      <c r="W31" s="312"/>
      <c r="X31" s="345"/>
      <c r="Y31" s="312"/>
      <c r="AA31" s="399" t="s">
        <v>354</v>
      </c>
    </row>
    <row r="32" spans="1:27" ht="15.75" customHeight="1" outlineLevel="1">
      <c r="A32" s="330"/>
      <c r="B32" s="331" t="s">
        <v>582</v>
      </c>
      <c r="C32" s="96">
        <v>-124</v>
      </c>
      <c r="D32" s="96">
        <v>-2981</v>
      </c>
      <c r="E32" s="58">
        <f t="shared" si="13"/>
        <v>23.04032258064516</v>
      </c>
      <c r="F32" s="97">
        <f t="shared" si="14"/>
        <v>-2857</v>
      </c>
      <c r="G32" s="96">
        <v>-509</v>
      </c>
      <c r="H32" s="96">
        <v>-1963</v>
      </c>
      <c r="I32" s="58">
        <f t="shared" si="15"/>
        <v>2.8565815324165031</v>
      </c>
      <c r="J32" s="97">
        <f t="shared" si="16"/>
        <v>-1454</v>
      </c>
      <c r="K32" s="96">
        <v>-1119</v>
      </c>
      <c r="L32" s="96">
        <v>-3085</v>
      </c>
      <c r="M32" s="58">
        <f t="shared" si="17"/>
        <v>1.7569258266309205</v>
      </c>
      <c r="N32" s="97">
        <f t="shared" si="18"/>
        <v>-1966</v>
      </c>
      <c r="O32" s="96">
        <v>8310</v>
      </c>
      <c r="P32" s="96">
        <f t="shared" si="19"/>
        <v>12594</v>
      </c>
      <c r="Q32" s="58">
        <f t="shared" si="20"/>
        <v>0.51552346570397112</v>
      </c>
      <c r="R32" s="97">
        <f t="shared" si="21"/>
        <v>4284</v>
      </c>
      <c r="S32" s="96">
        <f t="shared" si="9"/>
        <v>6558</v>
      </c>
      <c r="T32" s="101">
        <v>4565</v>
      </c>
      <c r="U32" s="58">
        <f t="shared" si="22"/>
        <v>-0.30390362915523028</v>
      </c>
      <c r="V32" s="97">
        <f t="shared" si="23"/>
        <v>-1993</v>
      </c>
      <c r="W32"/>
      <c r="X32" s="345"/>
      <c r="Y32"/>
      <c r="AA32" s="399" t="s">
        <v>21</v>
      </c>
    </row>
    <row r="33" spans="1:27" ht="15.75" customHeight="1" outlineLevel="1">
      <c r="A33" s="330"/>
      <c r="B33" s="331" t="s">
        <v>583</v>
      </c>
      <c r="C33" s="96">
        <v>-4949</v>
      </c>
      <c r="D33" s="96">
        <v>-3397</v>
      </c>
      <c r="E33" s="58">
        <f t="shared" si="13"/>
        <v>-0.31359870680945645</v>
      </c>
      <c r="F33" s="97">
        <f t="shared" si="14"/>
        <v>1552</v>
      </c>
      <c r="G33" s="96">
        <v>-4596</v>
      </c>
      <c r="H33" s="96">
        <v>-3176</v>
      </c>
      <c r="I33" s="58">
        <f t="shared" si="15"/>
        <v>-0.30896431679721492</v>
      </c>
      <c r="J33" s="97">
        <f t="shared" si="16"/>
        <v>1420</v>
      </c>
      <c r="K33" s="96">
        <v>-4591</v>
      </c>
      <c r="L33" s="96">
        <v>-3138</v>
      </c>
      <c r="M33" s="58">
        <f t="shared" si="17"/>
        <v>-0.3164887824003485</v>
      </c>
      <c r="N33" s="97">
        <f t="shared" si="18"/>
        <v>1453</v>
      </c>
      <c r="O33" s="96">
        <v>-3825</v>
      </c>
      <c r="P33" s="96">
        <f t="shared" si="19"/>
        <v>-3147</v>
      </c>
      <c r="Q33" s="58">
        <f t="shared" si="20"/>
        <v>-0.17725490196078431</v>
      </c>
      <c r="R33" s="97">
        <f t="shared" si="21"/>
        <v>678</v>
      </c>
      <c r="S33" s="96">
        <f t="shared" si="9"/>
        <v>-17961</v>
      </c>
      <c r="T33" s="101">
        <v>-12858</v>
      </c>
      <c r="U33" s="58">
        <f t="shared" si="22"/>
        <v>-0.28411558376482382</v>
      </c>
      <c r="V33" s="97">
        <f t="shared" si="23"/>
        <v>5103</v>
      </c>
      <c r="W33"/>
      <c r="X33" s="345"/>
      <c r="Y33"/>
      <c r="AA33" s="399" t="s">
        <v>22</v>
      </c>
    </row>
    <row r="34" spans="1:27" ht="15.75" customHeight="1" outlineLevel="1">
      <c r="A34" s="330"/>
      <c r="B34" s="331" t="s">
        <v>584</v>
      </c>
      <c r="C34" s="96">
        <v>0</v>
      </c>
      <c r="D34" s="96">
        <v>-115</v>
      </c>
      <c r="E34" s="58" t="str">
        <f t="shared" si="13"/>
        <v/>
      </c>
      <c r="F34" s="97">
        <f t="shared" si="14"/>
        <v>-115</v>
      </c>
      <c r="G34" s="96">
        <v>-1384</v>
      </c>
      <c r="H34" s="96">
        <v>-1847</v>
      </c>
      <c r="I34" s="58">
        <f t="shared" si="15"/>
        <v>0.33453757225433534</v>
      </c>
      <c r="J34" s="97">
        <f t="shared" si="16"/>
        <v>-463</v>
      </c>
      <c r="K34" s="96">
        <v>-500</v>
      </c>
      <c r="L34" s="96">
        <v>0</v>
      </c>
      <c r="M34" s="58">
        <f t="shared" si="17"/>
        <v>-1</v>
      </c>
      <c r="N34" s="97">
        <f t="shared" si="18"/>
        <v>500</v>
      </c>
      <c r="O34" s="96">
        <v>-1731</v>
      </c>
      <c r="P34" s="96">
        <f t="shared" si="19"/>
        <v>-7776</v>
      </c>
      <c r="Q34" s="58">
        <f t="shared" si="20"/>
        <v>3.4922010398613521</v>
      </c>
      <c r="R34" s="97">
        <f t="shared" si="21"/>
        <v>-6045</v>
      </c>
      <c r="S34" s="96">
        <f t="shared" si="9"/>
        <v>-3615</v>
      </c>
      <c r="T34" s="101">
        <v>-9738</v>
      </c>
      <c r="U34" s="58">
        <f t="shared" si="22"/>
        <v>1.6937759336099587</v>
      </c>
      <c r="V34" s="97">
        <f t="shared" si="23"/>
        <v>-6123</v>
      </c>
      <c r="W34"/>
      <c r="X34" s="345"/>
      <c r="Y34"/>
      <c r="AA34" s="399" t="s">
        <v>23</v>
      </c>
    </row>
    <row r="35" spans="1:27" ht="15.75" customHeight="1">
      <c r="A35" s="332"/>
      <c r="B35" s="333" t="s">
        <v>573</v>
      </c>
      <c r="C35" s="14">
        <v>0</v>
      </c>
      <c r="D35" s="30">
        <v>0</v>
      </c>
      <c r="E35" s="70" t="str">
        <f t="shared" si="13"/>
        <v/>
      </c>
      <c r="F35" s="71">
        <f t="shared" si="14"/>
        <v>0</v>
      </c>
      <c r="G35" s="96">
        <v>0</v>
      </c>
      <c r="H35" s="96">
        <v>0</v>
      </c>
      <c r="I35" s="70" t="str">
        <f t="shared" si="15"/>
        <v/>
      </c>
      <c r="J35" s="71">
        <f t="shared" si="16"/>
        <v>0</v>
      </c>
      <c r="K35" s="96">
        <v>0</v>
      </c>
      <c r="L35" s="96">
        <v>0</v>
      </c>
      <c r="M35" s="70" t="str">
        <f t="shared" si="17"/>
        <v/>
      </c>
      <c r="N35" s="71">
        <f t="shared" si="18"/>
        <v>0</v>
      </c>
      <c r="O35" s="96">
        <v>0</v>
      </c>
      <c r="P35" s="96">
        <f>T35-D35-H35-L35</f>
        <v>0</v>
      </c>
      <c r="Q35" s="70" t="str">
        <f t="shared" si="20"/>
        <v/>
      </c>
      <c r="R35" s="71">
        <f t="shared" si="21"/>
        <v>0</v>
      </c>
      <c r="S35" s="96">
        <f t="shared" si="9"/>
        <v>0</v>
      </c>
      <c r="T35" s="96">
        <v>0</v>
      </c>
      <c r="U35" s="70" t="str">
        <f t="shared" si="22"/>
        <v/>
      </c>
      <c r="V35" s="71">
        <f t="shared" si="23"/>
        <v>0</v>
      </c>
      <c r="W35"/>
      <c r="X35" s="345"/>
      <c r="Y35"/>
      <c r="AA35" s="399" t="s">
        <v>466</v>
      </c>
    </row>
    <row r="36" spans="1:27" ht="15.75" customHeight="1" outlineLevel="1">
      <c r="A36" s="336" t="s">
        <v>585</v>
      </c>
      <c r="B36" s="337"/>
      <c r="C36" s="17">
        <v>21481</v>
      </c>
      <c r="D36" s="17">
        <v>9663</v>
      </c>
      <c r="E36" s="72">
        <f t="shared" si="13"/>
        <v>-0.550160607048089</v>
      </c>
      <c r="F36" s="98">
        <f t="shared" si="14"/>
        <v>-11818</v>
      </c>
      <c r="G36" s="17">
        <v>19665</v>
      </c>
      <c r="H36" s="17">
        <v>4843</v>
      </c>
      <c r="I36" s="72">
        <f t="shared" si="15"/>
        <v>-0.75372489193999492</v>
      </c>
      <c r="J36" s="98">
        <f t="shared" si="16"/>
        <v>-14822</v>
      </c>
      <c r="K36" s="17">
        <f>SUM(K23:K35)</f>
        <v>12885</v>
      </c>
      <c r="L36" s="17">
        <v>24093</v>
      </c>
      <c r="M36" s="72">
        <f t="shared" si="17"/>
        <v>0.86984866123399307</v>
      </c>
      <c r="N36" s="98">
        <f t="shared" si="18"/>
        <v>11208</v>
      </c>
      <c r="O36" s="17">
        <v>21673</v>
      </c>
      <c r="P36" s="17">
        <f>SUM(P23:P35)</f>
        <v>9632</v>
      </c>
      <c r="Q36" s="72">
        <f t="shared" si="20"/>
        <v>-0.55557606238176538</v>
      </c>
      <c r="R36" s="98">
        <f t="shared" si="21"/>
        <v>-12041</v>
      </c>
      <c r="S36" s="17">
        <f>SUM(S23:S35)</f>
        <v>75704</v>
      </c>
      <c r="T36" s="17">
        <f>SUM(T23:T35)</f>
        <v>48231</v>
      </c>
      <c r="U36" s="72">
        <f t="shared" si="22"/>
        <v>-0.36290024305188628</v>
      </c>
      <c r="V36" s="98">
        <f t="shared" si="23"/>
        <v>-27473</v>
      </c>
      <c r="W36"/>
      <c r="X36" s="345"/>
      <c r="Y36"/>
    </row>
    <row r="37" spans="1:27" ht="15.75" customHeight="1" outlineLevel="1">
      <c r="A37" s="330" t="s">
        <v>586</v>
      </c>
      <c r="B37" s="331"/>
      <c r="C37" s="13"/>
      <c r="D37" s="24"/>
      <c r="E37" s="58"/>
      <c r="F37" s="59"/>
      <c r="G37" s="24">
        <v>0</v>
      </c>
      <c r="H37" s="24">
        <v>0</v>
      </c>
      <c r="I37" s="58"/>
      <c r="J37" s="59"/>
      <c r="K37" s="24">
        <v>0</v>
      </c>
      <c r="L37" s="24">
        <v>0</v>
      </c>
      <c r="M37" s="58"/>
      <c r="N37" s="59"/>
      <c r="O37" s="24"/>
      <c r="P37" s="24"/>
      <c r="Q37" s="58"/>
      <c r="R37" s="59"/>
      <c r="S37" s="24"/>
      <c r="T37" s="24"/>
      <c r="U37" s="58"/>
      <c r="V37" s="59"/>
      <c r="W37"/>
      <c r="X37" s="345"/>
      <c r="Y37"/>
    </row>
    <row r="38" spans="1:27" ht="15.75" customHeight="1" outlineLevel="1">
      <c r="A38" s="330"/>
      <c r="B38" s="331" t="s">
        <v>404</v>
      </c>
      <c r="C38" s="101">
        <v>0</v>
      </c>
      <c r="D38" s="101">
        <v>0</v>
      </c>
      <c r="E38" s="58" t="str">
        <f t="shared" ref="E38:E47" si="24">IFERROR(D38/C38-1,"")</f>
        <v/>
      </c>
      <c r="F38" s="97">
        <f t="shared" ref="F38:F47" si="25">D38-C38</f>
        <v>0</v>
      </c>
      <c r="G38" s="96">
        <v>0</v>
      </c>
      <c r="H38" s="96">
        <v>0</v>
      </c>
      <c r="I38" s="58" t="str">
        <f t="shared" ref="I38:I47" si="26">IFERROR(H38/G38-1,"")</f>
        <v/>
      </c>
      <c r="J38" s="97">
        <f t="shared" ref="J38:J47" si="27">H38-G38</f>
        <v>0</v>
      </c>
      <c r="K38" s="96">
        <v>0</v>
      </c>
      <c r="L38" s="96">
        <v>0</v>
      </c>
      <c r="M38" s="58" t="str">
        <f t="shared" ref="M38:M47" si="28">IFERROR(L38/K38-1,"")</f>
        <v/>
      </c>
      <c r="N38" s="97">
        <f t="shared" ref="N38:N47" si="29">L38-K38</f>
        <v>0</v>
      </c>
      <c r="O38" s="96">
        <v>0</v>
      </c>
      <c r="P38" s="96">
        <f t="shared" ref="P38:P46" si="30">T38-D38-H38-L38</f>
        <v>0</v>
      </c>
      <c r="Q38" s="58" t="str">
        <f t="shared" ref="Q38:Q47" si="31">IFERROR(P38/O38-1,"")</f>
        <v/>
      </c>
      <c r="R38" s="97">
        <f t="shared" ref="R38:R47" si="32">P38-O38</f>
        <v>0</v>
      </c>
      <c r="S38" s="96">
        <f t="shared" ref="S38:S46" si="33">C38+G38+K38+O38</f>
        <v>0</v>
      </c>
      <c r="T38" s="96">
        <v>0</v>
      </c>
      <c r="U38" s="58" t="str">
        <f t="shared" ref="U38:U47" si="34">IFERROR(T38/S38-1,"")</f>
        <v/>
      </c>
      <c r="V38" s="97">
        <f t="shared" ref="V38:V47" si="35">T38-S38</f>
        <v>0</v>
      </c>
      <c r="W38"/>
      <c r="X38" s="345"/>
      <c r="Y38"/>
      <c r="AA38" s="399" t="s">
        <v>466</v>
      </c>
    </row>
    <row r="39" spans="1:27" ht="15.75" customHeight="1" outlineLevel="1">
      <c r="A39" s="330"/>
      <c r="B39" s="331" t="s">
        <v>587</v>
      </c>
      <c r="C39" s="96">
        <v>0</v>
      </c>
      <c r="D39" s="101">
        <v>0</v>
      </c>
      <c r="E39" s="58" t="str">
        <f t="shared" si="24"/>
        <v/>
      </c>
      <c r="F39" s="97">
        <f t="shared" si="25"/>
        <v>0</v>
      </c>
      <c r="G39" s="96">
        <v>0</v>
      </c>
      <c r="H39" s="96">
        <v>0</v>
      </c>
      <c r="I39" s="58" t="str">
        <f t="shared" si="26"/>
        <v/>
      </c>
      <c r="J39" s="97">
        <f t="shared" si="27"/>
        <v>0</v>
      </c>
      <c r="K39" s="96">
        <v>0</v>
      </c>
      <c r="L39" s="96">
        <v>0</v>
      </c>
      <c r="M39" s="58" t="str">
        <f t="shared" si="28"/>
        <v/>
      </c>
      <c r="N39" s="97">
        <f t="shared" si="29"/>
        <v>0</v>
      </c>
      <c r="O39" s="96">
        <v>0</v>
      </c>
      <c r="P39" s="96">
        <f t="shared" si="30"/>
        <v>0</v>
      </c>
      <c r="Q39" s="58" t="str">
        <f t="shared" si="31"/>
        <v/>
      </c>
      <c r="R39" s="97">
        <f t="shared" si="32"/>
        <v>0</v>
      </c>
      <c r="S39" s="96">
        <f t="shared" si="33"/>
        <v>0</v>
      </c>
      <c r="T39" s="96">
        <v>0</v>
      </c>
      <c r="U39" s="58" t="str">
        <f t="shared" si="34"/>
        <v/>
      </c>
      <c r="V39" s="97">
        <f t="shared" si="35"/>
        <v>0</v>
      </c>
      <c r="W39"/>
      <c r="X39" s="345"/>
      <c r="Y39"/>
      <c r="AA39" s="399" t="s">
        <v>463</v>
      </c>
    </row>
    <row r="40" spans="1:27" ht="15.75" customHeight="1" outlineLevel="1">
      <c r="A40" s="330"/>
      <c r="B40" s="331" t="s">
        <v>588</v>
      </c>
      <c r="C40" s="96"/>
      <c r="D40" s="101"/>
      <c r="E40" s="58" t="str">
        <f t="shared" si="24"/>
        <v/>
      </c>
      <c r="F40" s="97">
        <f t="shared" si="25"/>
        <v>0</v>
      </c>
      <c r="G40" s="96">
        <v>0</v>
      </c>
      <c r="H40" s="96">
        <v>0</v>
      </c>
      <c r="I40" s="58" t="str">
        <f t="shared" si="26"/>
        <v/>
      </c>
      <c r="J40" s="97">
        <f t="shared" si="27"/>
        <v>0</v>
      </c>
      <c r="K40" s="96">
        <v>0</v>
      </c>
      <c r="L40" s="96">
        <v>0</v>
      </c>
      <c r="M40" s="58" t="str">
        <f t="shared" si="28"/>
        <v/>
      </c>
      <c r="N40" s="97">
        <f t="shared" si="29"/>
        <v>0</v>
      </c>
      <c r="O40" s="96">
        <v>0</v>
      </c>
      <c r="P40" s="96">
        <f t="shared" si="30"/>
        <v>0</v>
      </c>
      <c r="Q40" s="58" t="str">
        <f t="shared" si="31"/>
        <v/>
      </c>
      <c r="R40" s="97">
        <f t="shared" si="32"/>
        <v>0</v>
      </c>
      <c r="S40" s="96">
        <f t="shared" si="33"/>
        <v>0</v>
      </c>
      <c r="T40" s="96">
        <v>0</v>
      </c>
      <c r="U40" s="58" t="str">
        <f t="shared" si="34"/>
        <v/>
      </c>
      <c r="V40" s="97">
        <f t="shared" si="35"/>
        <v>0</v>
      </c>
      <c r="W40"/>
      <c r="X40" s="345"/>
      <c r="Y40"/>
      <c r="AA40" s="399" t="s">
        <v>466</v>
      </c>
    </row>
    <row r="41" spans="1:27" ht="15.75" customHeight="1" outlineLevel="1">
      <c r="A41" s="330"/>
      <c r="B41" s="331" t="s">
        <v>589</v>
      </c>
      <c r="C41" s="96">
        <v>0</v>
      </c>
      <c r="D41" s="101">
        <v>0</v>
      </c>
      <c r="E41" s="58" t="str">
        <f t="shared" si="24"/>
        <v/>
      </c>
      <c r="F41" s="97">
        <f t="shared" si="25"/>
        <v>0</v>
      </c>
      <c r="G41" s="96">
        <v>0</v>
      </c>
      <c r="H41" s="96">
        <v>0</v>
      </c>
      <c r="I41" s="58" t="str">
        <f t="shared" si="26"/>
        <v/>
      </c>
      <c r="J41" s="97">
        <f t="shared" si="27"/>
        <v>0</v>
      </c>
      <c r="K41" s="96">
        <v>0</v>
      </c>
      <c r="L41" s="96">
        <v>0</v>
      </c>
      <c r="M41" s="58" t="str">
        <f t="shared" si="28"/>
        <v/>
      </c>
      <c r="N41" s="97">
        <f t="shared" si="29"/>
        <v>0</v>
      </c>
      <c r="O41" s="96">
        <v>0</v>
      </c>
      <c r="P41" s="96">
        <f t="shared" si="30"/>
        <v>0</v>
      </c>
      <c r="Q41" s="58" t="str">
        <f t="shared" si="31"/>
        <v/>
      </c>
      <c r="R41" s="97">
        <f t="shared" si="32"/>
        <v>0</v>
      </c>
      <c r="S41" s="96">
        <f t="shared" si="33"/>
        <v>0</v>
      </c>
      <c r="T41" s="96">
        <v>0</v>
      </c>
      <c r="U41" s="58" t="str">
        <f t="shared" si="34"/>
        <v/>
      </c>
      <c r="V41" s="97">
        <f t="shared" si="35"/>
        <v>0</v>
      </c>
      <c r="W41"/>
      <c r="X41" s="345"/>
      <c r="Y41"/>
      <c r="AA41" s="399" t="s">
        <v>411</v>
      </c>
    </row>
    <row r="42" spans="1:27" ht="15.75" customHeight="1" outlineLevel="1">
      <c r="A42" s="330"/>
      <c r="B42" s="331" t="s">
        <v>590</v>
      </c>
      <c r="C42" s="96">
        <v>0</v>
      </c>
      <c r="D42" s="101">
        <v>0</v>
      </c>
      <c r="E42" s="58" t="str">
        <f t="shared" si="24"/>
        <v/>
      </c>
      <c r="F42" s="97">
        <f t="shared" si="25"/>
        <v>0</v>
      </c>
      <c r="G42" s="96">
        <v>0</v>
      </c>
      <c r="H42" s="96">
        <v>0</v>
      </c>
      <c r="I42" s="58" t="str">
        <f t="shared" si="26"/>
        <v/>
      </c>
      <c r="J42" s="97">
        <f t="shared" si="27"/>
        <v>0</v>
      </c>
      <c r="K42" s="96">
        <v>8317</v>
      </c>
      <c r="L42" s="96">
        <v>0</v>
      </c>
      <c r="M42" s="58">
        <f t="shared" si="28"/>
        <v>-1</v>
      </c>
      <c r="N42" s="97">
        <f t="shared" si="29"/>
        <v>-8317</v>
      </c>
      <c r="O42" s="96">
        <v>-137</v>
      </c>
      <c r="P42" s="96">
        <f t="shared" si="30"/>
        <v>0</v>
      </c>
      <c r="Q42" s="58">
        <f t="shared" si="31"/>
        <v>-1</v>
      </c>
      <c r="R42" s="97">
        <f t="shared" si="32"/>
        <v>137</v>
      </c>
      <c r="S42" s="101">
        <f t="shared" si="33"/>
        <v>8180</v>
      </c>
      <c r="T42" s="96">
        <v>0</v>
      </c>
      <c r="U42" s="58">
        <f t="shared" si="34"/>
        <v>-1</v>
      </c>
      <c r="V42" s="97">
        <f t="shared" si="35"/>
        <v>-8180</v>
      </c>
      <c r="W42"/>
      <c r="X42" s="345"/>
      <c r="Y42" s="397"/>
      <c r="AA42" s="399" t="s">
        <v>461</v>
      </c>
    </row>
    <row r="43" spans="1:27" ht="15.75" customHeight="1" outlineLevel="1">
      <c r="A43" s="330"/>
      <c r="B43" s="348" t="s">
        <v>591</v>
      </c>
      <c r="C43" s="96">
        <v>-2160</v>
      </c>
      <c r="D43" s="101">
        <v>-1003</v>
      </c>
      <c r="E43" s="58">
        <f t="shared" si="24"/>
        <v>-0.5356481481481481</v>
      </c>
      <c r="F43" s="97">
        <f t="shared" si="25"/>
        <v>1157</v>
      </c>
      <c r="G43" s="96">
        <v>-1054</v>
      </c>
      <c r="H43" s="96">
        <v>-2017</v>
      </c>
      <c r="I43" s="58">
        <f t="shared" si="26"/>
        <v>0.91366223908918398</v>
      </c>
      <c r="J43" s="97">
        <f t="shared" si="27"/>
        <v>-963</v>
      </c>
      <c r="K43" s="96">
        <v>-1990</v>
      </c>
      <c r="L43" s="96">
        <v>-1475</v>
      </c>
      <c r="M43" s="58">
        <f t="shared" si="28"/>
        <v>-0.25879396984924619</v>
      </c>
      <c r="N43" s="97">
        <f t="shared" si="29"/>
        <v>515</v>
      </c>
      <c r="O43" s="96">
        <v>-1842</v>
      </c>
      <c r="P43" s="96">
        <f t="shared" si="30"/>
        <v>-529</v>
      </c>
      <c r="Q43" s="58">
        <f t="shared" si="31"/>
        <v>-0.71281216069489683</v>
      </c>
      <c r="R43" s="97">
        <f t="shared" si="32"/>
        <v>1313</v>
      </c>
      <c r="S43" s="96">
        <f t="shared" si="33"/>
        <v>-7046</v>
      </c>
      <c r="T43" s="101">
        <v>-5024</v>
      </c>
      <c r="U43" s="58">
        <f t="shared" si="34"/>
        <v>-0.2869713312517741</v>
      </c>
      <c r="V43" s="97">
        <f t="shared" si="35"/>
        <v>2022</v>
      </c>
      <c r="W43"/>
      <c r="X43" s="345"/>
      <c r="Y43"/>
      <c r="AA43" s="399" t="s">
        <v>25</v>
      </c>
    </row>
    <row r="44" spans="1:27" ht="15.75" customHeight="1" outlineLevel="1">
      <c r="A44" s="330"/>
      <c r="B44" s="348" t="s">
        <v>592</v>
      </c>
      <c r="C44" s="96">
        <v>92</v>
      </c>
      <c r="D44" s="101">
        <v>2</v>
      </c>
      <c r="E44" s="58">
        <f t="shared" si="24"/>
        <v>-0.97826086956521741</v>
      </c>
      <c r="F44" s="97">
        <f t="shared" si="25"/>
        <v>-90</v>
      </c>
      <c r="G44" s="96">
        <v>5</v>
      </c>
      <c r="H44" s="96">
        <v>277</v>
      </c>
      <c r="I44" s="58">
        <f t="shared" si="26"/>
        <v>54.4</v>
      </c>
      <c r="J44" s="97">
        <f t="shared" si="27"/>
        <v>272</v>
      </c>
      <c r="K44" s="96">
        <v>6057</v>
      </c>
      <c r="L44" s="96">
        <v>320</v>
      </c>
      <c r="M44" s="58">
        <f t="shared" si="28"/>
        <v>-0.94716856529635129</v>
      </c>
      <c r="N44" s="97">
        <f t="shared" si="29"/>
        <v>-5737</v>
      </c>
      <c r="O44" s="96">
        <v>-158</v>
      </c>
      <c r="P44" s="96">
        <f t="shared" si="30"/>
        <v>70</v>
      </c>
      <c r="Q44" s="58">
        <f t="shared" si="31"/>
        <v>-1.4430379746835442</v>
      </c>
      <c r="R44" s="97">
        <f t="shared" si="32"/>
        <v>228</v>
      </c>
      <c r="S44" s="96">
        <f t="shared" si="33"/>
        <v>5996</v>
      </c>
      <c r="T44" s="101">
        <v>669</v>
      </c>
      <c r="U44" s="58">
        <f t="shared" si="34"/>
        <v>-0.88842561707805201</v>
      </c>
      <c r="V44" s="97">
        <f t="shared" si="35"/>
        <v>-5327</v>
      </c>
      <c r="W44"/>
      <c r="X44" s="345"/>
      <c r="Y44"/>
      <c r="AA44" s="399" t="s">
        <v>376</v>
      </c>
    </row>
    <row r="45" spans="1:27" ht="15.75" customHeight="1">
      <c r="A45" s="330"/>
      <c r="B45" s="348" t="s">
        <v>593</v>
      </c>
      <c r="C45" s="96">
        <v>-644</v>
      </c>
      <c r="D45" s="101">
        <v>-1113</v>
      </c>
      <c r="E45" s="58">
        <f t="shared" si="24"/>
        <v>0.72826086956521729</v>
      </c>
      <c r="F45" s="97">
        <f t="shared" si="25"/>
        <v>-469</v>
      </c>
      <c r="G45" s="96">
        <v>-1197</v>
      </c>
      <c r="H45" s="96">
        <v>-1730</v>
      </c>
      <c r="I45" s="58">
        <f t="shared" si="26"/>
        <v>0.44527986633249794</v>
      </c>
      <c r="J45" s="97">
        <f t="shared" si="27"/>
        <v>-533</v>
      </c>
      <c r="K45" s="96">
        <v>-844</v>
      </c>
      <c r="L45" s="96">
        <v>-1316</v>
      </c>
      <c r="M45" s="58">
        <f t="shared" si="28"/>
        <v>0.55924170616113744</v>
      </c>
      <c r="N45" s="97">
        <f t="shared" si="29"/>
        <v>-472</v>
      </c>
      <c r="O45" s="96">
        <v>-1917</v>
      </c>
      <c r="P45" s="96">
        <f t="shared" si="30"/>
        <v>-1652</v>
      </c>
      <c r="Q45" s="58">
        <f t="shared" si="31"/>
        <v>-0.13823682837767348</v>
      </c>
      <c r="R45" s="97">
        <f t="shared" si="32"/>
        <v>265</v>
      </c>
      <c r="S45" s="96">
        <f t="shared" si="33"/>
        <v>-4602</v>
      </c>
      <c r="T45" s="101">
        <v>-5811</v>
      </c>
      <c r="U45" s="58">
        <f t="shared" si="34"/>
        <v>0.26271186440677963</v>
      </c>
      <c r="V45" s="97">
        <f t="shared" si="35"/>
        <v>-1209</v>
      </c>
      <c r="W45"/>
      <c r="X45" s="345"/>
      <c r="Y45"/>
      <c r="AA45" s="399" t="s">
        <v>378</v>
      </c>
    </row>
    <row r="46" spans="1:27" ht="15.75" customHeight="1" outlineLevel="1">
      <c r="A46" s="330"/>
      <c r="B46" s="331" t="s">
        <v>594</v>
      </c>
      <c r="C46" s="96"/>
      <c r="D46" s="96"/>
      <c r="E46" s="58" t="str">
        <f t="shared" si="24"/>
        <v/>
      </c>
      <c r="F46" s="97">
        <f t="shared" si="25"/>
        <v>0</v>
      </c>
      <c r="G46" s="96">
        <v>0</v>
      </c>
      <c r="H46" s="96">
        <v>0</v>
      </c>
      <c r="I46" s="58" t="str">
        <f t="shared" si="26"/>
        <v/>
      </c>
      <c r="J46" s="97">
        <f t="shared" si="27"/>
        <v>0</v>
      </c>
      <c r="K46" s="96">
        <v>0</v>
      </c>
      <c r="L46" s="96">
        <v>0</v>
      </c>
      <c r="M46" s="58" t="str">
        <f t="shared" si="28"/>
        <v/>
      </c>
      <c r="N46" s="97">
        <f t="shared" si="29"/>
        <v>0</v>
      </c>
      <c r="O46" s="96">
        <v>0</v>
      </c>
      <c r="P46" s="96">
        <f t="shared" si="30"/>
        <v>0</v>
      </c>
      <c r="Q46" s="58" t="str">
        <f t="shared" si="31"/>
        <v/>
      </c>
      <c r="R46" s="97">
        <f t="shared" si="32"/>
        <v>0</v>
      </c>
      <c r="S46" s="96">
        <f t="shared" si="33"/>
        <v>0</v>
      </c>
      <c r="T46" s="96">
        <v>0</v>
      </c>
      <c r="U46" s="58" t="str">
        <f t="shared" si="34"/>
        <v/>
      </c>
      <c r="V46" s="97">
        <f t="shared" si="35"/>
        <v>0</v>
      </c>
      <c r="W46"/>
      <c r="X46" s="345"/>
      <c r="Y46"/>
      <c r="AA46" s="399" t="s">
        <v>462</v>
      </c>
    </row>
    <row r="47" spans="1:27" ht="15.75" customHeight="1" outlineLevel="1">
      <c r="A47" s="336" t="s">
        <v>595</v>
      </c>
      <c r="B47" s="337"/>
      <c r="C47" s="17">
        <v>-2712</v>
      </c>
      <c r="D47" s="17">
        <v>-2114</v>
      </c>
      <c r="E47" s="72">
        <f t="shared" si="24"/>
        <v>-0.22050147492625372</v>
      </c>
      <c r="F47" s="98">
        <f t="shared" si="25"/>
        <v>598</v>
      </c>
      <c r="G47" s="17">
        <v>-2246</v>
      </c>
      <c r="H47" s="17">
        <v>-3470</v>
      </c>
      <c r="I47" s="72">
        <f t="shared" si="26"/>
        <v>0.5449688334817453</v>
      </c>
      <c r="J47" s="98">
        <f t="shared" si="27"/>
        <v>-1224</v>
      </c>
      <c r="K47" s="17">
        <f>SUM(K38:K46)</f>
        <v>11540</v>
      </c>
      <c r="L47" s="17">
        <v>-2471</v>
      </c>
      <c r="M47" s="72">
        <f t="shared" si="28"/>
        <v>-1.2141247833622184</v>
      </c>
      <c r="N47" s="98">
        <f t="shared" si="29"/>
        <v>-14011</v>
      </c>
      <c r="O47" s="17">
        <v>-4054</v>
      </c>
      <c r="P47" s="17">
        <f t="shared" ref="P47" si="36">SUM(P38:P46)</f>
        <v>-2111</v>
      </c>
      <c r="Q47" s="72">
        <f t="shared" si="31"/>
        <v>-0.47927972372964978</v>
      </c>
      <c r="R47" s="98">
        <f t="shared" si="32"/>
        <v>1943</v>
      </c>
      <c r="S47" s="17">
        <f>SUM(S38:S46)</f>
        <v>2528</v>
      </c>
      <c r="T47" s="17">
        <f>SUM(T38:T46)</f>
        <v>-10166</v>
      </c>
      <c r="U47" s="72">
        <f t="shared" si="34"/>
        <v>-5.0213607594936711</v>
      </c>
      <c r="V47" s="98">
        <f t="shared" si="35"/>
        <v>-12694</v>
      </c>
      <c r="W47"/>
      <c r="X47" s="345"/>
      <c r="Y47"/>
    </row>
    <row r="48" spans="1:27" ht="15.75" customHeight="1" outlineLevel="1">
      <c r="A48" s="330" t="s">
        <v>596</v>
      </c>
      <c r="B48" s="331"/>
      <c r="C48" s="19"/>
      <c r="D48" s="24"/>
      <c r="E48" s="58"/>
      <c r="F48" s="59"/>
      <c r="G48" s="30">
        <v>0</v>
      </c>
      <c r="H48" s="30">
        <v>0</v>
      </c>
      <c r="I48" s="58"/>
      <c r="J48" s="59"/>
      <c r="K48" s="30">
        <v>0</v>
      </c>
      <c r="L48" s="30">
        <v>0</v>
      </c>
      <c r="M48" s="58"/>
      <c r="N48" s="59"/>
      <c r="O48" s="30"/>
      <c r="P48" s="30"/>
      <c r="Q48" s="58"/>
      <c r="R48" s="59"/>
      <c r="S48" s="96"/>
      <c r="T48" s="96"/>
      <c r="U48" s="58"/>
      <c r="V48" s="59"/>
      <c r="W48"/>
      <c r="X48" s="345"/>
      <c r="Y48"/>
    </row>
    <row r="49" spans="1:27" s="102" customFormat="1" ht="15.75" customHeight="1" outlineLevel="1">
      <c r="A49" s="347"/>
      <c r="B49" s="348" t="s">
        <v>597</v>
      </c>
      <c r="C49" s="96">
        <v>-11638</v>
      </c>
      <c r="D49" s="24">
        <v>-7952</v>
      </c>
      <c r="E49" s="58">
        <f t="shared" ref="E49:E61" si="37">IFERROR(D49/C49-1,"")</f>
        <v>-0.31672108609726757</v>
      </c>
      <c r="F49" s="97">
        <f t="shared" ref="F49:F61" si="38">D49-C49</f>
        <v>3686</v>
      </c>
      <c r="G49" s="96">
        <v>-2932</v>
      </c>
      <c r="H49" s="96">
        <v>-16503</v>
      </c>
      <c r="I49" s="58">
        <f t="shared" ref="I49:I61" si="39">IFERROR(H49/G49-1,"")</f>
        <v>4.6285811732605726</v>
      </c>
      <c r="J49" s="97">
        <f t="shared" ref="J49:J61" si="40">H49-G49</f>
        <v>-13571</v>
      </c>
      <c r="K49" s="96">
        <v>-2398</v>
      </c>
      <c r="L49" s="96">
        <v>-13876</v>
      </c>
      <c r="M49" s="58">
        <f t="shared" ref="M49:M61" si="41">IFERROR(L49/K49-1,"")</f>
        <v>4.7864887406171812</v>
      </c>
      <c r="N49" s="97">
        <f t="shared" ref="N49:N61" si="42">L49-K49</f>
        <v>-11478</v>
      </c>
      <c r="O49" s="96">
        <v>-3421</v>
      </c>
      <c r="P49" s="96">
        <f t="shared" ref="P49:P59" si="43">T49-D49-H49-L49</f>
        <v>-8412</v>
      </c>
      <c r="Q49" s="58">
        <f t="shared" ref="Q49:Q61" si="44">IFERROR(P49/O49-1,"")</f>
        <v>1.4589301373867292</v>
      </c>
      <c r="R49" s="97">
        <f t="shared" ref="R49:R61" si="45">P49-O49</f>
        <v>-4991</v>
      </c>
      <c r="S49" s="96">
        <f t="shared" ref="S49:S59" si="46">C49+G49+K49+O49</f>
        <v>-20389</v>
      </c>
      <c r="T49" s="101">
        <v>-46743</v>
      </c>
      <c r="U49" s="58">
        <f t="shared" ref="U49:U61" si="47">IFERROR(T49/S49-1,"")</f>
        <v>1.2925597135710434</v>
      </c>
      <c r="V49" s="97">
        <f t="shared" ref="V49:V61" si="48">T49-S49</f>
        <v>-26354</v>
      </c>
      <c r="W49"/>
      <c r="X49" s="345"/>
      <c r="Y49"/>
      <c r="AA49" s="401" t="s">
        <v>464</v>
      </c>
    </row>
    <row r="50" spans="1:27" ht="15.75" customHeight="1" outlineLevel="1">
      <c r="A50" s="330"/>
      <c r="B50" s="331" t="s">
        <v>598</v>
      </c>
      <c r="C50" s="96">
        <v>0</v>
      </c>
      <c r="D50" s="24">
        <v>0</v>
      </c>
      <c r="E50" s="58" t="str">
        <f t="shared" si="37"/>
        <v/>
      </c>
      <c r="F50" s="97">
        <f t="shared" si="38"/>
        <v>0</v>
      </c>
      <c r="G50" s="96">
        <v>0</v>
      </c>
      <c r="H50" s="96">
        <v>0</v>
      </c>
      <c r="I50" s="58" t="str">
        <f t="shared" si="39"/>
        <v/>
      </c>
      <c r="J50" s="97">
        <f t="shared" si="40"/>
        <v>0</v>
      </c>
      <c r="K50" s="96">
        <v>0</v>
      </c>
      <c r="L50" s="96">
        <v>0</v>
      </c>
      <c r="M50" s="58" t="str">
        <f t="shared" si="41"/>
        <v/>
      </c>
      <c r="N50" s="97">
        <f t="shared" si="42"/>
        <v>0</v>
      </c>
      <c r="O50" s="96">
        <v>0</v>
      </c>
      <c r="P50" s="96">
        <f t="shared" si="43"/>
        <v>0</v>
      </c>
      <c r="Q50" s="58" t="str">
        <f t="shared" si="44"/>
        <v/>
      </c>
      <c r="R50" s="97">
        <f t="shared" si="45"/>
        <v>0</v>
      </c>
      <c r="S50" s="96">
        <f t="shared" si="46"/>
        <v>0</v>
      </c>
      <c r="T50" s="101">
        <v>0</v>
      </c>
      <c r="U50" s="58" t="str">
        <f t="shared" si="47"/>
        <v/>
      </c>
      <c r="V50" s="97">
        <f t="shared" si="48"/>
        <v>0</v>
      </c>
      <c r="W50"/>
      <c r="X50" s="345"/>
      <c r="Y50"/>
      <c r="AA50" s="399" t="s">
        <v>411</v>
      </c>
    </row>
    <row r="51" spans="1:27" ht="15.75" customHeight="1" outlineLevel="1">
      <c r="A51" s="330"/>
      <c r="B51" s="331" t="s">
        <v>599</v>
      </c>
      <c r="C51" s="96"/>
      <c r="D51" s="24">
        <v>0</v>
      </c>
      <c r="E51" s="58" t="str">
        <f t="shared" si="37"/>
        <v/>
      </c>
      <c r="F51" s="97">
        <f t="shared" si="38"/>
        <v>0</v>
      </c>
      <c r="G51" s="96">
        <v>0</v>
      </c>
      <c r="H51" s="96">
        <v>0</v>
      </c>
      <c r="I51" s="58" t="str">
        <f t="shared" si="39"/>
        <v/>
      </c>
      <c r="J51" s="97">
        <f t="shared" si="40"/>
        <v>0</v>
      </c>
      <c r="K51" s="96">
        <v>0</v>
      </c>
      <c r="L51" s="96">
        <v>0</v>
      </c>
      <c r="M51" s="58" t="str">
        <f t="shared" si="41"/>
        <v/>
      </c>
      <c r="N51" s="97">
        <f t="shared" si="42"/>
        <v>0</v>
      </c>
      <c r="O51" s="96">
        <v>0</v>
      </c>
      <c r="P51" s="96">
        <f t="shared" si="43"/>
        <v>0</v>
      </c>
      <c r="Q51" s="58" t="str">
        <f t="shared" si="44"/>
        <v/>
      </c>
      <c r="R51" s="97">
        <f t="shared" si="45"/>
        <v>0</v>
      </c>
      <c r="S51" s="96">
        <f t="shared" si="46"/>
        <v>0</v>
      </c>
      <c r="T51" s="101">
        <v>0</v>
      </c>
      <c r="U51" s="58" t="str">
        <f t="shared" si="47"/>
        <v/>
      </c>
      <c r="V51" s="97">
        <f t="shared" si="48"/>
        <v>0</v>
      </c>
      <c r="W51"/>
      <c r="X51" s="345"/>
      <c r="Y51"/>
      <c r="AA51" s="399" t="s">
        <v>466</v>
      </c>
    </row>
    <row r="52" spans="1:27" ht="15.75" customHeight="1" outlineLevel="1">
      <c r="A52" s="330"/>
      <c r="B52" s="331" t="s">
        <v>600</v>
      </c>
      <c r="C52" s="96">
        <v>-5999</v>
      </c>
      <c r="D52" s="24">
        <v>-10226</v>
      </c>
      <c r="E52" s="58">
        <f t="shared" si="37"/>
        <v>0.70461743623937312</v>
      </c>
      <c r="F52" s="97">
        <f t="shared" si="38"/>
        <v>-4227</v>
      </c>
      <c r="G52" s="96">
        <v>0</v>
      </c>
      <c r="H52" s="96">
        <v>0</v>
      </c>
      <c r="I52" s="58" t="str">
        <f t="shared" si="39"/>
        <v/>
      </c>
      <c r="J52" s="97">
        <f t="shared" si="40"/>
        <v>0</v>
      </c>
      <c r="K52" s="96">
        <v>0</v>
      </c>
      <c r="L52" s="96">
        <v>0</v>
      </c>
      <c r="M52" s="58" t="str">
        <f t="shared" si="41"/>
        <v/>
      </c>
      <c r="N52" s="97">
        <f t="shared" si="42"/>
        <v>0</v>
      </c>
      <c r="O52" s="96">
        <v>0</v>
      </c>
      <c r="P52" s="96">
        <f t="shared" si="43"/>
        <v>-2</v>
      </c>
      <c r="Q52" s="58" t="str">
        <f t="shared" si="44"/>
        <v/>
      </c>
      <c r="R52" s="97">
        <f t="shared" si="45"/>
        <v>-2</v>
      </c>
      <c r="S52" s="96">
        <f t="shared" si="46"/>
        <v>-5999</v>
      </c>
      <c r="T52" s="101">
        <v>-10228</v>
      </c>
      <c r="U52" s="58">
        <f t="shared" si="47"/>
        <v>0.70495082513752294</v>
      </c>
      <c r="V52" s="97">
        <f t="shared" si="48"/>
        <v>-4229</v>
      </c>
      <c r="W52"/>
      <c r="X52" s="345"/>
      <c r="Y52"/>
      <c r="AA52" s="399" t="s">
        <v>27</v>
      </c>
    </row>
    <row r="53" spans="1:27" ht="15.75" customHeight="1" outlineLevel="1">
      <c r="A53" s="330"/>
      <c r="B53" s="331" t="s">
        <v>590</v>
      </c>
      <c r="C53" s="96">
        <v>-168</v>
      </c>
      <c r="D53" s="24">
        <v>22</v>
      </c>
      <c r="E53" s="58">
        <f t="shared" si="37"/>
        <v>-1.1309523809523809</v>
      </c>
      <c r="F53" s="97">
        <f t="shared" si="38"/>
        <v>190</v>
      </c>
      <c r="G53" s="96">
        <v>99</v>
      </c>
      <c r="H53" s="96">
        <v>-225</v>
      </c>
      <c r="I53" s="58">
        <f t="shared" si="39"/>
        <v>-3.2727272727272729</v>
      </c>
      <c r="J53" s="97">
        <f t="shared" si="40"/>
        <v>-324</v>
      </c>
      <c r="K53" s="96">
        <v>20</v>
      </c>
      <c r="L53" s="96">
        <v>-46</v>
      </c>
      <c r="M53" s="58">
        <f t="shared" si="41"/>
        <v>-3.3</v>
      </c>
      <c r="N53" s="97">
        <f t="shared" si="42"/>
        <v>-66</v>
      </c>
      <c r="O53" s="96">
        <v>67</v>
      </c>
      <c r="P53" s="96">
        <f t="shared" si="43"/>
        <v>2</v>
      </c>
      <c r="Q53" s="58">
        <f t="shared" si="44"/>
        <v>-0.97014925373134331</v>
      </c>
      <c r="R53" s="97">
        <f t="shared" si="45"/>
        <v>-65</v>
      </c>
      <c r="S53" s="96">
        <f t="shared" si="46"/>
        <v>18</v>
      </c>
      <c r="T53" s="101">
        <v>-247</v>
      </c>
      <c r="U53" s="58">
        <f t="shared" si="47"/>
        <v>-14.722222222222221</v>
      </c>
      <c r="V53" s="97">
        <f t="shared" si="48"/>
        <v>-265</v>
      </c>
      <c r="W53"/>
      <c r="X53" s="345"/>
      <c r="Y53"/>
      <c r="AA53" s="399" t="s">
        <v>415</v>
      </c>
    </row>
    <row r="54" spans="1:27" ht="15.75" customHeight="1" outlineLevel="1">
      <c r="A54" s="330"/>
      <c r="B54" s="331" t="s">
        <v>529</v>
      </c>
      <c r="C54" s="96">
        <v>0</v>
      </c>
      <c r="D54" s="24">
        <v>0</v>
      </c>
      <c r="E54" s="58" t="str">
        <f t="shared" si="37"/>
        <v/>
      </c>
      <c r="F54" s="97">
        <f t="shared" si="38"/>
        <v>0</v>
      </c>
      <c r="G54" s="96">
        <v>0</v>
      </c>
      <c r="H54" s="96">
        <v>0</v>
      </c>
      <c r="I54" s="58" t="str">
        <f t="shared" si="39"/>
        <v/>
      </c>
      <c r="J54" s="97">
        <f t="shared" si="40"/>
        <v>0</v>
      </c>
      <c r="K54" s="96">
        <v>0</v>
      </c>
      <c r="L54" s="96">
        <v>46000</v>
      </c>
      <c r="M54" s="58" t="str">
        <f t="shared" si="41"/>
        <v/>
      </c>
      <c r="N54" s="97">
        <f t="shared" si="42"/>
        <v>46000</v>
      </c>
      <c r="O54" s="96">
        <v>0</v>
      </c>
      <c r="P54" s="96">
        <f t="shared" si="43"/>
        <v>0</v>
      </c>
      <c r="Q54" s="58" t="str">
        <f t="shared" si="44"/>
        <v/>
      </c>
      <c r="R54" s="97">
        <f t="shared" si="45"/>
        <v>0</v>
      </c>
      <c r="S54" s="96">
        <f t="shared" si="46"/>
        <v>0</v>
      </c>
      <c r="T54" s="101">
        <v>46000</v>
      </c>
      <c r="U54" s="58" t="str">
        <f t="shared" si="47"/>
        <v/>
      </c>
      <c r="V54" s="97">
        <f t="shared" si="48"/>
        <v>46000</v>
      </c>
      <c r="W54"/>
      <c r="X54" s="345"/>
      <c r="Y54"/>
      <c r="AA54" s="399" t="s">
        <v>408</v>
      </c>
    </row>
    <row r="55" spans="1:27" ht="15.75" customHeight="1">
      <c r="A55" s="330"/>
      <c r="B55" s="331" t="s">
        <v>601</v>
      </c>
      <c r="C55" s="96">
        <v>-3877</v>
      </c>
      <c r="D55" s="96">
        <v>-3884</v>
      </c>
      <c r="E55" s="58">
        <f t="shared" si="37"/>
        <v>1.8055197317512484E-3</v>
      </c>
      <c r="F55" s="97">
        <f t="shared" si="38"/>
        <v>-7</v>
      </c>
      <c r="G55" s="96">
        <v>-7126</v>
      </c>
      <c r="H55" s="96">
        <v>-3885</v>
      </c>
      <c r="I55" s="58">
        <f t="shared" si="39"/>
        <v>-0.45481335952848723</v>
      </c>
      <c r="J55" s="97">
        <f t="shared" si="40"/>
        <v>3241</v>
      </c>
      <c r="K55" s="96">
        <v>-12080</v>
      </c>
      <c r="L55" s="96">
        <v>-25670</v>
      </c>
      <c r="M55" s="58">
        <f t="shared" si="41"/>
        <v>1.125</v>
      </c>
      <c r="N55" s="97">
        <f t="shared" si="42"/>
        <v>-13590</v>
      </c>
      <c r="O55" s="96">
        <v>-3539</v>
      </c>
      <c r="P55" s="96">
        <f t="shared" si="43"/>
        <v>-2976</v>
      </c>
      <c r="Q55" s="58">
        <f t="shared" si="44"/>
        <v>-0.15908448714326084</v>
      </c>
      <c r="R55" s="97">
        <f t="shared" si="45"/>
        <v>563</v>
      </c>
      <c r="S55" s="96">
        <f t="shared" si="46"/>
        <v>-26622</v>
      </c>
      <c r="T55" s="101">
        <v>-36415</v>
      </c>
      <c r="U55" s="58">
        <f t="shared" si="47"/>
        <v>0.36785365487191046</v>
      </c>
      <c r="V55" s="97">
        <f t="shared" si="48"/>
        <v>-9793</v>
      </c>
      <c r="W55"/>
      <c r="X55" s="345"/>
      <c r="Y55"/>
      <c r="AA55" s="399" t="s">
        <v>465</v>
      </c>
    </row>
    <row r="56" spans="1:27" ht="15.75" customHeight="1">
      <c r="A56" s="330"/>
      <c r="B56" s="331" t="s">
        <v>602</v>
      </c>
      <c r="C56" s="24">
        <v>0</v>
      </c>
      <c r="D56" s="96">
        <v>0</v>
      </c>
      <c r="E56" s="58" t="str">
        <f t="shared" si="37"/>
        <v/>
      </c>
      <c r="F56" s="97">
        <f t="shared" si="38"/>
        <v>0</v>
      </c>
      <c r="G56" s="96">
        <v>0</v>
      </c>
      <c r="H56" s="96">
        <v>0</v>
      </c>
      <c r="I56" s="58" t="str">
        <f t="shared" si="39"/>
        <v/>
      </c>
      <c r="J56" s="97">
        <f t="shared" si="40"/>
        <v>0</v>
      </c>
      <c r="K56" s="96">
        <v>0</v>
      </c>
      <c r="L56" s="96">
        <v>0</v>
      </c>
      <c r="M56" s="58" t="str">
        <f t="shared" si="41"/>
        <v/>
      </c>
      <c r="N56" s="97">
        <f t="shared" si="42"/>
        <v>0</v>
      </c>
      <c r="O56" s="96">
        <v>0</v>
      </c>
      <c r="P56" s="96">
        <f t="shared" si="43"/>
        <v>0</v>
      </c>
      <c r="Q56" s="58" t="str">
        <f t="shared" si="44"/>
        <v/>
      </c>
      <c r="R56" s="97">
        <f t="shared" si="45"/>
        <v>0</v>
      </c>
      <c r="S56" s="96">
        <f t="shared" si="46"/>
        <v>0</v>
      </c>
      <c r="T56" s="101">
        <v>0</v>
      </c>
      <c r="U56" s="58" t="str">
        <f t="shared" si="47"/>
        <v/>
      </c>
      <c r="V56" s="97">
        <f t="shared" si="48"/>
        <v>0</v>
      </c>
      <c r="W56"/>
      <c r="X56" s="345"/>
      <c r="Y56"/>
      <c r="AA56" s="399" t="s">
        <v>416</v>
      </c>
    </row>
    <row r="57" spans="1:27" ht="15.75" customHeight="1">
      <c r="A57" s="330"/>
      <c r="B57" s="331" t="s">
        <v>603</v>
      </c>
      <c r="C57" s="24">
        <v>-407</v>
      </c>
      <c r="D57" s="96">
        <v>-349</v>
      </c>
      <c r="E57" s="58">
        <f t="shared" si="37"/>
        <v>-0.14250614250614246</v>
      </c>
      <c r="F57" s="97">
        <f t="shared" si="38"/>
        <v>58</v>
      </c>
      <c r="G57" s="96">
        <v>-353</v>
      </c>
      <c r="H57" s="96">
        <v>-334</v>
      </c>
      <c r="I57" s="58">
        <f t="shared" si="39"/>
        <v>-5.3824362606232246E-2</v>
      </c>
      <c r="J57" s="97">
        <f t="shared" si="40"/>
        <v>19</v>
      </c>
      <c r="K57" s="96">
        <v>-447</v>
      </c>
      <c r="L57" s="96">
        <v>-358</v>
      </c>
      <c r="M57" s="58">
        <f t="shared" si="41"/>
        <v>-0.19910514541387025</v>
      </c>
      <c r="N57" s="97">
        <f t="shared" si="42"/>
        <v>89</v>
      </c>
      <c r="O57" s="96">
        <v>-407</v>
      </c>
      <c r="P57" s="96">
        <f t="shared" si="43"/>
        <v>-346</v>
      </c>
      <c r="Q57" s="58">
        <f t="shared" si="44"/>
        <v>-0.14987714987714984</v>
      </c>
      <c r="R57" s="97">
        <f t="shared" si="45"/>
        <v>61</v>
      </c>
      <c r="S57" s="96">
        <f t="shared" si="46"/>
        <v>-1614</v>
      </c>
      <c r="T57" s="101">
        <v>-1387</v>
      </c>
      <c r="U57" s="58">
        <f t="shared" si="47"/>
        <v>-0.1406443618339529</v>
      </c>
      <c r="V57" s="97">
        <f t="shared" si="48"/>
        <v>227</v>
      </c>
      <c r="W57"/>
      <c r="X57" s="345"/>
      <c r="Y57"/>
      <c r="AA57" s="399" t="s">
        <v>417</v>
      </c>
    </row>
    <row r="58" spans="1:27" ht="15.75" customHeight="1">
      <c r="A58" s="330"/>
      <c r="B58" s="331" t="s">
        <v>604</v>
      </c>
      <c r="C58" s="96"/>
      <c r="D58" s="96"/>
      <c r="E58" s="58" t="str">
        <f t="shared" si="37"/>
        <v/>
      </c>
      <c r="F58" s="59">
        <f t="shared" si="38"/>
        <v>0</v>
      </c>
      <c r="G58" s="96">
        <v>0</v>
      </c>
      <c r="H58" s="96">
        <v>0</v>
      </c>
      <c r="I58" s="58" t="str">
        <f t="shared" si="39"/>
        <v/>
      </c>
      <c r="J58" s="59">
        <f t="shared" si="40"/>
        <v>0</v>
      </c>
      <c r="K58" s="96">
        <v>0</v>
      </c>
      <c r="L58" s="96">
        <v>0</v>
      </c>
      <c r="M58" s="58" t="str">
        <f t="shared" si="41"/>
        <v/>
      </c>
      <c r="N58" s="59">
        <f t="shared" si="42"/>
        <v>0</v>
      </c>
      <c r="O58" s="96">
        <v>0</v>
      </c>
      <c r="P58" s="96">
        <f t="shared" si="43"/>
        <v>0</v>
      </c>
      <c r="Q58" s="58" t="str">
        <f t="shared" si="44"/>
        <v/>
      </c>
      <c r="R58" s="59">
        <f t="shared" si="45"/>
        <v>0</v>
      </c>
      <c r="S58" s="96">
        <f t="shared" si="46"/>
        <v>0</v>
      </c>
      <c r="T58" s="101">
        <v>0</v>
      </c>
      <c r="U58" s="58" t="str">
        <f t="shared" si="47"/>
        <v/>
      </c>
      <c r="V58" s="59">
        <f t="shared" si="48"/>
        <v>0</v>
      </c>
      <c r="W58"/>
      <c r="X58" s="345"/>
      <c r="Y58"/>
      <c r="AA58" s="399" t="s">
        <v>466</v>
      </c>
    </row>
    <row r="59" spans="1:27" ht="15.75" customHeight="1">
      <c r="A59" s="330"/>
      <c r="B59" s="331" t="s">
        <v>605</v>
      </c>
      <c r="C59" s="96">
        <v>0</v>
      </c>
      <c r="D59" s="96">
        <v>2016</v>
      </c>
      <c r="E59" s="58" t="str">
        <f t="shared" si="37"/>
        <v/>
      </c>
      <c r="F59" s="59">
        <f t="shared" si="38"/>
        <v>2016</v>
      </c>
      <c r="G59" s="96">
        <v>3201</v>
      </c>
      <c r="H59" s="96">
        <v>1185</v>
      </c>
      <c r="I59" s="58">
        <f t="shared" si="39"/>
        <v>-0.6298031865042174</v>
      </c>
      <c r="J59" s="59">
        <f t="shared" si="40"/>
        <v>-2016</v>
      </c>
      <c r="K59" s="96">
        <v>0</v>
      </c>
      <c r="L59" s="96">
        <v>2515</v>
      </c>
      <c r="M59" s="58" t="str">
        <f t="shared" si="41"/>
        <v/>
      </c>
      <c r="N59" s="59">
        <f t="shared" si="42"/>
        <v>2515</v>
      </c>
      <c r="O59" s="96">
        <v>0</v>
      </c>
      <c r="P59" s="96">
        <f t="shared" si="43"/>
        <v>0</v>
      </c>
      <c r="Q59" s="58" t="str">
        <f t="shared" si="44"/>
        <v/>
      </c>
      <c r="R59" s="59">
        <f t="shared" si="45"/>
        <v>0</v>
      </c>
      <c r="S59" s="96">
        <f t="shared" si="46"/>
        <v>3201</v>
      </c>
      <c r="T59" s="101">
        <v>5716</v>
      </c>
      <c r="U59" s="58">
        <f t="shared" si="47"/>
        <v>0.7856919712589816</v>
      </c>
      <c r="V59" s="59">
        <f t="shared" si="48"/>
        <v>2515</v>
      </c>
      <c r="W59"/>
      <c r="X59" s="345"/>
      <c r="Y59"/>
      <c r="AA59" s="399" t="s">
        <v>421</v>
      </c>
    </row>
    <row r="60" spans="1:27" ht="15.75" customHeight="1">
      <c r="A60" s="336" t="s">
        <v>606</v>
      </c>
      <c r="B60" s="337"/>
      <c r="C60" s="17">
        <f t="shared" ref="C60" si="49">SUM(C49:C59)</f>
        <v>-22089</v>
      </c>
      <c r="D60" s="17">
        <v>-20373</v>
      </c>
      <c r="E60" s="72">
        <f t="shared" si="37"/>
        <v>-7.7685725926931903E-2</v>
      </c>
      <c r="F60" s="73">
        <f t="shared" si="38"/>
        <v>1716</v>
      </c>
      <c r="G60" s="17">
        <f>SUM(G49:G59)</f>
        <v>-7111</v>
      </c>
      <c r="H60" s="17">
        <v>-19762</v>
      </c>
      <c r="I60" s="72">
        <f t="shared" si="39"/>
        <v>1.7790746730417664</v>
      </c>
      <c r="J60" s="73">
        <f t="shared" si="40"/>
        <v>-12651</v>
      </c>
      <c r="K60" s="17">
        <v>-14905</v>
      </c>
      <c r="L60" s="17">
        <v>8565</v>
      </c>
      <c r="M60" s="72">
        <f t="shared" si="41"/>
        <v>-1.5746393827574638</v>
      </c>
      <c r="N60" s="73">
        <f t="shared" si="42"/>
        <v>23470</v>
      </c>
      <c r="O60" s="17">
        <v>-7300</v>
      </c>
      <c r="P60" s="17">
        <f>SUM(P49:P58)</f>
        <v>-11734</v>
      </c>
      <c r="Q60" s="72">
        <f t="shared" si="44"/>
        <v>0.60739726027397256</v>
      </c>
      <c r="R60" s="73">
        <f t="shared" si="45"/>
        <v>-4434</v>
      </c>
      <c r="S60" s="17">
        <f>SUM(S49:S59)</f>
        <v>-51405</v>
      </c>
      <c r="T60" s="17">
        <f>SUM(T49:T59)</f>
        <v>-43304</v>
      </c>
      <c r="U60" s="72">
        <f t="shared" si="47"/>
        <v>-0.15759167396167684</v>
      </c>
      <c r="V60" s="73">
        <f t="shared" si="48"/>
        <v>8101</v>
      </c>
      <c r="W60"/>
      <c r="X60" s="345"/>
      <c r="Y60"/>
    </row>
    <row r="61" spans="1:27" ht="15.75" customHeight="1" thickBot="1">
      <c r="A61" s="338"/>
      <c r="B61" s="339" t="s">
        <v>607</v>
      </c>
      <c r="C61" s="20">
        <f t="shared" ref="C61" si="50">C60+C47+C36</f>
        <v>-3320</v>
      </c>
      <c r="D61" s="20">
        <v>-12824</v>
      </c>
      <c r="E61" s="74">
        <f t="shared" si="37"/>
        <v>2.8626506024096385</v>
      </c>
      <c r="F61" s="75">
        <f t="shared" si="38"/>
        <v>-9504</v>
      </c>
      <c r="G61" s="20">
        <f>G60+G47+G36</f>
        <v>10308</v>
      </c>
      <c r="H61" s="20">
        <v>-18389</v>
      </c>
      <c r="I61" s="74">
        <f t="shared" si="39"/>
        <v>-2.7839542103220802</v>
      </c>
      <c r="J61" s="75">
        <f t="shared" si="40"/>
        <v>-28697</v>
      </c>
      <c r="K61" s="20">
        <v>9520</v>
      </c>
      <c r="L61" s="20">
        <v>30187</v>
      </c>
      <c r="M61" s="74">
        <f t="shared" si="41"/>
        <v>2.1709033613445379</v>
      </c>
      <c r="N61" s="75">
        <f t="shared" si="42"/>
        <v>20667</v>
      </c>
      <c r="O61" s="20">
        <v>10319</v>
      </c>
      <c r="P61" s="20">
        <f>P60+P47+P36</f>
        <v>-4213</v>
      </c>
      <c r="Q61" s="74">
        <f t="shared" si="44"/>
        <v>-1.4082759957360209</v>
      </c>
      <c r="R61" s="75">
        <f t="shared" si="45"/>
        <v>-14532</v>
      </c>
      <c r="S61" s="20">
        <f>S60+S47+S36</f>
        <v>26827</v>
      </c>
      <c r="T61" s="20">
        <f>T60+T47+T36</f>
        <v>-5239</v>
      </c>
      <c r="U61" s="74">
        <f t="shared" si="47"/>
        <v>-1.1952883289223544</v>
      </c>
      <c r="V61" s="75">
        <f t="shared" si="48"/>
        <v>-32066</v>
      </c>
      <c r="W61"/>
      <c r="X61" s="345"/>
      <c r="Y61"/>
    </row>
    <row r="62" spans="1:27" ht="15.75" customHeight="1">
      <c r="A62" s="330"/>
      <c r="B62" s="331"/>
      <c r="C62" s="16"/>
      <c r="D62" s="24"/>
      <c r="E62" s="58"/>
      <c r="F62" s="59"/>
      <c r="G62" s="25"/>
      <c r="H62" s="16"/>
      <c r="I62" s="58"/>
      <c r="J62" s="59"/>
      <c r="K62" s="25"/>
      <c r="L62" s="16"/>
      <c r="M62" s="58"/>
      <c r="N62" s="59"/>
      <c r="O62" s="25"/>
      <c r="P62" s="16"/>
      <c r="Q62" s="58"/>
      <c r="R62" s="59"/>
      <c r="S62" s="25"/>
      <c r="T62" s="25"/>
      <c r="U62" s="58"/>
      <c r="V62" s="59"/>
      <c r="W62"/>
      <c r="X62" s="345"/>
      <c r="Y62"/>
    </row>
    <row r="63" spans="1:27" ht="15.75" customHeight="1">
      <c r="A63" s="330"/>
      <c r="B63" s="3" t="s">
        <v>608</v>
      </c>
      <c r="C63" s="29">
        <v>98325</v>
      </c>
      <c r="D63" s="307">
        <v>125152</v>
      </c>
      <c r="E63" s="76">
        <f>IFERROR(D63/C63-1,"")</f>
        <v>0.27284007119247389</v>
      </c>
      <c r="F63" s="97">
        <f>D63-C63</f>
        <v>26827</v>
      </c>
      <c r="G63" s="96">
        <f>C65</f>
        <v>95005</v>
      </c>
      <c r="H63" s="307">
        <v>112328</v>
      </c>
      <c r="I63" s="76">
        <f>IFERROR(H63/G63-1,"")</f>
        <v>0.18233777169622645</v>
      </c>
      <c r="J63" s="97">
        <f>H63-G63</f>
        <v>17323</v>
      </c>
      <c r="K63" s="96">
        <v>105313</v>
      </c>
      <c r="L63" s="307">
        <v>93939</v>
      </c>
      <c r="M63" s="76">
        <f>IFERROR(L63/K63-1,"")</f>
        <v>-0.10800186111876031</v>
      </c>
      <c r="N63" s="97">
        <f>L63-K63</f>
        <v>-11374</v>
      </c>
      <c r="O63" s="96">
        <v>114833</v>
      </c>
      <c r="P63" s="307">
        <f>L65</f>
        <v>124126</v>
      </c>
      <c r="Q63" s="76">
        <f>IFERROR(P63/O63-1,"")</f>
        <v>8.0926214589882806E-2</v>
      </c>
      <c r="R63" s="97">
        <f>P63-O63</f>
        <v>9293</v>
      </c>
      <c r="S63" s="101">
        <f>C63</f>
        <v>98325</v>
      </c>
      <c r="T63" s="96">
        <v>125152</v>
      </c>
      <c r="U63" s="76">
        <f>IFERROR(T63/S63-1,"")</f>
        <v>0.27284007119247389</v>
      </c>
      <c r="V63" s="97">
        <f>T63-S63</f>
        <v>26827</v>
      </c>
      <c r="W63"/>
      <c r="X63" s="345"/>
      <c r="Y63"/>
      <c r="AA63" s="399" t="s">
        <v>390</v>
      </c>
    </row>
    <row r="64" spans="1:27" ht="15.75" customHeight="1">
      <c r="A64" s="330"/>
      <c r="B64" s="331"/>
      <c r="C64" s="16"/>
      <c r="D64" s="24"/>
      <c r="E64" s="58"/>
      <c r="F64" s="59"/>
      <c r="G64" s="24"/>
      <c r="H64" s="16"/>
      <c r="I64" s="58"/>
      <c r="J64" s="59"/>
      <c r="K64" s="24"/>
      <c r="L64" s="16"/>
      <c r="M64" s="58"/>
      <c r="N64" s="59"/>
      <c r="O64" s="24"/>
      <c r="P64" s="16"/>
      <c r="Q64" s="58"/>
      <c r="R64" s="59"/>
      <c r="S64" s="24"/>
      <c r="T64" s="24"/>
      <c r="U64" s="58"/>
      <c r="V64" s="59"/>
      <c r="X64" s="345"/>
    </row>
    <row r="65" spans="1:24" ht="15.75" customHeight="1" thickBot="1">
      <c r="A65" s="334"/>
      <c r="B65" s="335" t="s">
        <v>609</v>
      </c>
      <c r="C65" s="21">
        <f t="shared" ref="C65" si="51">SUM(C61:C64)</f>
        <v>95005</v>
      </c>
      <c r="D65" s="21">
        <v>112328</v>
      </c>
      <c r="E65" s="77">
        <f>IFERROR(D65/C65-1,"")</f>
        <v>0.18233777169622645</v>
      </c>
      <c r="F65" s="99">
        <f>D65-C65</f>
        <v>17323</v>
      </c>
      <c r="G65" s="21">
        <f>SUM(G61:G64)</f>
        <v>105313</v>
      </c>
      <c r="H65" s="21">
        <v>93939</v>
      </c>
      <c r="I65" s="77">
        <f>IFERROR(H65/G65-1,"")</f>
        <v>-0.10800186111876031</v>
      </c>
      <c r="J65" s="99">
        <f>H65-G65</f>
        <v>-11374</v>
      </c>
      <c r="K65" s="21">
        <v>114833</v>
      </c>
      <c r="L65" s="21">
        <v>124126</v>
      </c>
      <c r="M65" s="77">
        <f>IFERROR(L65/K65-1,"")</f>
        <v>8.0926214589882806E-2</v>
      </c>
      <c r="N65" s="99">
        <f>L65-K65</f>
        <v>9293</v>
      </c>
      <c r="O65" s="21">
        <v>125152</v>
      </c>
      <c r="P65" s="21">
        <f>SUM(P61:P64)</f>
        <v>119913</v>
      </c>
      <c r="Q65" s="77">
        <f>IFERROR(P65/O65-1,"")</f>
        <v>-4.1861096906162132E-2</v>
      </c>
      <c r="R65" s="99">
        <f>P65-O65</f>
        <v>-5239</v>
      </c>
      <c r="S65" s="21">
        <f>SUM(S61:S64)</f>
        <v>125152</v>
      </c>
      <c r="T65" s="21">
        <f>SUM(T61:T64)</f>
        <v>119913</v>
      </c>
      <c r="U65" s="77">
        <f>IFERROR(T65/S65-1,"")</f>
        <v>-4.1861096906162132E-2</v>
      </c>
      <c r="V65" s="99">
        <f>T65-S65</f>
        <v>-5239</v>
      </c>
      <c r="X65" s="345"/>
    </row>
    <row r="66" spans="1:24" ht="15.75" customHeight="1">
      <c r="C66" s="90"/>
      <c r="D66" s="90"/>
      <c r="S66" s="39"/>
    </row>
    <row r="67" spans="1:24" ht="15.75" hidden="1" customHeight="1"/>
    <row r="68" spans="1:24" ht="12" hidden="1">
      <c r="A68" s="37" t="s">
        <v>55</v>
      </c>
      <c r="B68" s="37"/>
      <c r="C68" s="37"/>
      <c r="D68" s="37"/>
      <c r="E68" s="102"/>
      <c r="F68" s="102"/>
      <c r="G68" s="37"/>
      <c r="H68" s="37"/>
      <c r="I68" s="279" t="str">
        <f>G2</f>
        <v>2T23</v>
      </c>
      <c r="J68" s="280" t="str">
        <f>H2</f>
        <v>2T24</v>
      </c>
      <c r="K68" s="37"/>
      <c r="L68" s="37"/>
      <c r="M68" s="279"/>
      <c r="N68" s="280"/>
      <c r="O68" s="37"/>
      <c r="P68" s="37"/>
      <c r="Q68" s="279"/>
      <c r="R68" s="280"/>
      <c r="S68" s="37"/>
      <c r="T68" s="37"/>
      <c r="U68" s="279">
        <f>S2</f>
        <v>2023</v>
      </c>
      <c r="V68" s="280">
        <f>T2</f>
        <v>2024</v>
      </c>
    </row>
    <row r="69" spans="1:24" ht="12" hidden="1">
      <c r="A69" s="37" t="s">
        <v>56</v>
      </c>
      <c r="B69" s="37"/>
      <c r="C69" s="38">
        <v>-5697</v>
      </c>
      <c r="D69" s="38">
        <v>5777</v>
      </c>
      <c r="E69" s="272">
        <f>C69/1000</f>
        <v>-5.6970000000000001</v>
      </c>
      <c r="F69" s="272">
        <f>D69/1000</f>
        <v>5.7770000000000001</v>
      </c>
      <c r="G69" s="38"/>
      <c r="H69" s="38"/>
      <c r="I69" s="275">
        <f>G69/10^3</f>
        <v>0</v>
      </c>
      <c r="J69" s="276">
        <f>H69/10^3</f>
        <v>0</v>
      </c>
      <c r="K69" s="38"/>
      <c r="L69" s="38"/>
      <c r="M69" s="275"/>
      <c r="N69" s="276"/>
      <c r="O69" s="38"/>
      <c r="P69" s="38"/>
      <c r="Q69" s="275"/>
      <c r="R69" s="276"/>
      <c r="S69" s="38">
        <v>-5697</v>
      </c>
      <c r="T69" s="38">
        <f>T4</f>
        <v>85100</v>
      </c>
      <c r="U69" s="275">
        <f>S69/10^3</f>
        <v>-5.6970000000000001</v>
      </c>
      <c r="V69" s="276">
        <f>T69/10^3</f>
        <v>85.1</v>
      </c>
    </row>
    <row r="70" spans="1:24" ht="12" hidden="1">
      <c r="A70" s="37" t="s">
        <v>57</v>
      </c>
      <c r="B70" s="37"/>
      <c r="C70" s="38">
        <v>20270</v>
      </c>
      <c r="D70" s="38">
        <v>9491</v>
      </c>
      <c r="E70" s="272">
        <f t="shared" ref="E70:E76" si="52">C70/1000</f>
        <v>20.27</v>
      </c>
      <c r="F70" s="272">
        <f t="shared" ref="F70:F76" si="53">D70/1000</f>
        <v>9.4909999999999997</v>
      </c>
      <c r="G70" s="38"/>
      <c r="H70" s="38"/>
      <c r="I70" s="275">
        <f t="shared" ref="I70:I76" si="54">G70/10^3</f>
        <v>0</v>
      </c>
      <c r="J70" s="276">
        <f t="shared" ref="J70:J76" si="55">H70/10^3</f>
        <v>0</v>
      </c>
      <c r="K70" s="38"/>
      <c r="L70" s="38"/>
      <c r="M70" s="275"/>
      <c r="N70" s="276"/>
      <c r="O70" s="38"/>
      <c r="P70" s="38"/>
      <c r="Q70" s="275"/>
      <c r="R70" s="276"/>
      <c r="S70" s="38">
        <v>20270</v>
      </c>
      <c r="T70" s="38">
        <f>SUM(T6:T22)</f>
        <v>14566</v>
      </c>
      <c r="U70" s="275">
        <f t="shared" ref="U70:U76" si="56">S70/10^3</f>
        <v>20.27</v>
      </c>
      <c r="V70" s="276">
        <f t="shared" ref="V70:V76" si="57">T70/10^3</f>
        <v>14.566000000000001</v>
      </c>
    </row>
    <row r="71" spans="1:24" ht="12" hidden="1">
      <c r="A71" s="37" t="s">
        <v>58</v>
      </c>
      <c r="B71" s="37"/>
      <c r="C71" s="38">
        <v>-12276</v>
      </c>
      <c r="D71" s="38">
        <v>6215</v>
      </c>
      <c r="E71" s="272">
        <f t="shared" si="52"/>
        <v>-12.276</v>
      </c>
      <c r="F71" s="272">
        <f t="shared" si="53"/>
        <v>6.2149999999999999</v>
      </c>
      <c r="G71" s="38"/>
      <c r="H71" s="38"/>
      <c r="I71" s="275">
        <f t="shared" si="54"/>
        <v>0</v>
      </c>
      <c r="J71" s="276">
        <f t="shared" si="55"/>
        <v>0</v>
      </c>
      <c r="K71" s="38"/>
      <c r="L71" s="38"/>
      <c r="M71" s="275"/>
      <c r="N71" s="276"/>
      <c r="O71" s="38"/>
      <c r="P71" s="38"/>
      <c r="Q71" s="275"/>
      <c r="R71" s="276"/>
      <c r="S71" s="38">
        <v>-12276</v>
      </c>
      <c r="T71" s="38">
        <f>SUM(T25:T35)</f>
        <v>-51435</v>
      </c>
      <c r="U71" s="275">
        <f t="shared" si="56"/>
        <v>-12.276</v>
      </c>
      <c r="V71" s="276">
        <f t="shared" si="57"/>
        <v>-51.435000000000002</v>
      </c>
    </row>
    <row r="72" spans="1:24" ht="12" hidden="1">
      <c r="A72" s="37" t="s">
        <v>59</v>
      </c>
      <c r="B72" s="37"/>
      <c r="C72" s="38">
        <v>-976</v>
      </c>
      <c r="D72" s="38">
        <v>-2714</v>
      </c>
      <c r="E72" s="272">
        <f t="shared" si="52"/>
        <v>-0.97599999999999998</v>
      </c>
      <c r="F72" s="272">
        <f t="shared" si="53"/>
        <v>-2.714</v>
      </c>
      <c r="G72" s="38"/>
      <c r="H72" s="38"/>
      <c r="I72" s="275">
        <f t="shared" si="54"/>
        <v>0</v>
      </c>
      <c r="J72" s="276">
        <f t="shared" si="55"/>
        <v>0</v>
      </c>
      <c r="K72" s="38"/>
      <c r="L72" s="38"/>
      <c r="M72" s="275"/>
      <c r="N72" s="276"/>
      <c r="O72" s="38"/>
      <c r="P72" s="38"/>
      <c r="Q72" s="275"/>
      <c r="R72" s="276"/>
      <c r="S72" s="38">
        <v>-976</v>
      </c>
      <c r="T72" s="38">
        <f>T47</f>
        <v>-10166</v>
      </c>
      <c r="U72" s="275">
        <f t="shared" si="56"/>
        <v>-0.97599999999999998</v>
      </c>
      <c r="V72" s="276">
        <f t="shared" si="57"/>
        <v>-10.166</v>
      </c>
    </row>
    <row r="73" spans="1:24" ht="12" hidden="1">
      <c r="A73" s="37" t="s">
        <v>60</v>
      </c>
      <c r="B73" s="37"/>
      <c r="C73" s="38">
        <v>-10875</v>
      </c>
      <c r="D73" s="38">
        <v>-22089</v>
      </c>
      <c r="E73" s="272">
        <f t="shared" si="52"/>
        <v>-10.875</v>
      </c>
      <c r="F73" s="272">
        <f t="shared" si="53"/>
        <v>-22.088999999999999</v>
      </c>
      <c r="G73" s="38"/>
      <c r="H73" s="38"/>
      <c r="I73" s="275">
        <f t="shared" si="54"/>
        <v>0</v>
      </c>
      <c r="J73" s="276">
        <f t="shared" si="55"/>
        <v>0</v>
      </c>
      <c r="K73" s="38"/>
      <c r="L73" s="38"/>
      <c r="M73" s="275"/>
      <c r="N73" s="276"/>
      <c r="O73" s="38"/>
      <c r="P73" s="38"/>
      <c r="Q73" s="275"/>
      <c r="R73" s="276"/>
      <c r="S73" s="38">
        <v>-10875</v>
      </c>
      <c r="T73" s="38">
        <f>SUM(T48:T58)</f>
        <v>-49020</v>
      </c>
      <c r="U73" s="275">
        <f t="shared" si="56"/>
        <v>-10.875</v>
      </c>
      <c r="V73" s="276">
        <f t="shared" si="57"/>
        <v>-49.02</v>
      </c>
    </row>
    <row r="74" spans="1:24" ht="12" hidden="1">
      <c r="A74" s="37" t="s">
        <v>61</v>
      </c>
      <c r="B74" s="37"/>
      <c r="C74" s="38">
        <v>-9554</v>
      </c>
      <c r="D74" s="38">
        <v>-3320</v>
      </c>
      <c r="E74" s="272">
        <f t="shared" si="52"/>
        <v>-9.5540000000000003</v>
      </c>
      <c r="F74" s="272">
        <f t="shared" si="53"/>
        <v>-3.32</v>
      </c>
      <c r="G74" s="38"/>
      <c r="H74" s="38"/>
      <c r="I74" s="275">
        <f t="shared" si="54"/>
        <v>0</v>
      </c>
      <c r="J74" s="276">
        <f t="shared" si="55"/>
        <v>0</v>
      </c>
      <c r="K74" s="38"/>
      <c r="L74" s="38"/>
      <c r="M74" s="275"/>
      <c r="N74" s="276"/>
      <c r="O74" s="38"/>
      <c r="P74" s="38"/>
      <c r="Q74" s="275"/>
      <c r="R74" s="276"/>
      <c r="S74" s="38">
        <v>-9554</v>
      </c>
      <c r="T74" s="38">
        <f>SUM(T69:T73)</f>
        <v>-10955</v>
      </c>
      <c r="U74" s="275">
        <f t="shared" si="56"/>
        <v>-9.5540000000000003</v>
      </c>
      <c r="V74" s="276">
        <f t="shared" si="57"/>
        <v>-10.955</v>
      </c>
    </row>
    <row r="75" spans="1:24" ht="12" hidden="1">
      <c r="A75" s="37" t="s">
        <v>62</v>
      </c>
      <c r="B75" s="37"/>
      <c r="C75" s="38">
        <v>89633</v>
      </c>
      <c r="D75" s="38">
        <v>98325</v>
      </c>
      <c r="E75" s="272">
        <f t="shared" si="52"/>
        <v>89.632999999999996</v>
      </c>
      <c r="F75" s="272">
        <f t="shared" si="53"/>
        <v>98.325000000000003</v>
      </c>
      <c r="G75" s="38"/>
      <c r="H75" s="38"/>
      <c r="I75" s="275">
        <f t="shared" si="54"/>
        <v>0</v>
      </c>
      <c r="J75" s="276">
        <f t="shared" si="55"/>
        <v>0</v>
      </c>
      <c r="K75" s="38"/>
      <c r="L75" s="38"/>
      <c r="M75" s="275"/>
      <c r="N75" s="276"/>
      <c r="O75" s="38"/>
      <c r="P75" s="38"/>
      <c r="Q75" s="275"/>
      <c r="R75" s="276"/>
      <c r="S75" s="38">
        <v>89633</v>
      </c>
      <c r="T75" s="38">
        <f>T63</f>
        <v>125152</v>
      </c>
      <c r="U75" s="275">
        <f t="shared" si="56"/>
        <v>89.632999999999996</v>
      </c>
      <c r="V75" s="276">
        <f t="shared" si="57"/>
        <v>125.152</v>
      </c>
    </row>
    <row r="76" spans="1:24" ht="12" hidden="1">
      <c r="A76" s="37" t="s">
        <v>63</v>
      </c>
      <c r="B76" s="37"/>
      <c r="C76" s="38">
        <v>80079</v>
      </c>
      <c r="D76" s="38">
        <v>95005</v>
      </c>
      <c r="E76" s="272">
        <f t="shared" si="52"/>
        <v>80.078999999999994</v>
      </c>
      <c r="F76" s="272">
        <f t="shared" si="53"/>
        <v>95.004999999999995</v>
      </c>
      <c r="G76" s="38"/>
      <c r="H76" s="38"/>
      <c r="I76" s="277">
        <f t="shared" si="54"/>
        <v>0</v>
      </c>
      <c r="J76" s="278">
        <f t="shared" si="55"/>
        <v>0</v>
      </c>
      <c r="K76" s="38"/>
      <c r="L76" s="38"/>
      <c r="M76" s="277"/>
      <c r="N76" s="278"/>
      <c r="O76" s="38"/>
      <c r="P76" s="38"/>
      <c r="Q76" s="277"/>
      <c r="R76" s="278"/>
      <c r="S76" s="38">
        <v>80079</v>
      </c>
      <c r="T76" s="38">
        <f>T74+T75</f>
        <v>114197</v>
      </c>
      <c r="U76" s="277">
        <f t="shared" si="56"/>
        <v>80.078999999999994</v>
      </c>
      <c r="V76" s="278">
        <f t="shared" si="57"/>
        <v>114.197</v>
      </c>
    </row>
    <row r="77" spans="1:24" ht="12" hidden="1">
      <c r="A77" s="11"/>
      <c r="B77" s="11"/>
      <c r="C77" s="89"/>
      <c r="D77" s="11"/>
      <c r="E77" s="11"/>
      <c r="F77" s="11"/>
      <c r="H77" s="11"/>
      <c r="I77" s="11"/>
      <c r="J77" s="11"/>
      <c r="L77" s="11"/>
      <c r="M77" s="11"/>
      <c r="N77" s="11"/>
      <c r="P77" s="11"/>
      <c r="Q77" s="11"/>
      <c r="R77" s="11"/>
      <c r="S77" s="89"/>
      <c r="T77" s="11"/>
      <c r="U77" s="79"/>
      <c r="V77" s="79"/>
    </row>
    <row r="78" spans="1:24" ht="12" hidden="1">
      <c r="A78" s="11"/>
      <c r="B78" s="11"/>
      <c r="C78" s="11"/>
      <c r="D78" s="11"/>
      <c r="E78" s="11"/>
      <c r="F78" s="11"/>
      <c r="H78" s="11"/>
      <c r="I78" s="11"/>
      <c r="J78" s="11"/>
      <c r="L78" s="11"/>
      <c r="M78" s="11"/>
      <c r="N78" s="11"/>
      <c r="P78" s="11"/>
      <c r="Q78" s="11"/>
      <c r="R78" s="11"/>
      <c r="T78" s="11"/>
      <c r="U78" s="79"/>
      <c r="V78" s="79"/>
    </row>
    <row r="79" spans="1:24" ht="12" hidden="1">
      <c r="A79" s="11" t="s">
        <v>64</v>
      </c>
      <c r="B79" s="11"/>
      <c r="C79" s="11"/>
      <c r="D79" s="11"/>
      <c r="E79" s="11"/>
      <c r="F79" s="11"/>
      <c r="H79" s="11"/>
      <c r="I79" s="11"/>
      <c r="J79" s="11"/>
      <c r="L79" s="11"/>
      <c r="M79" s="11"/>
      <c r="N79" s="11"/>
      <c r="P79" s="11"/>
      <c r="Q79" s="11"/>
      <c r="R79" s="11"/>
      <c r="S79" s="89"/>
      <c r="T79" s="11"/>
      <c r="U79" s="79"/>
      <c r="V79" s="79"/>
    </row>
    <row r="80" spans="1:24" ht="12" hidden="1">
      <c r="A80" s="11"/>
      <c r="B80" s="11"/>
      <c r="C80" s="11"/>
      <c r="D80" s="11"/>
      <c r="E80" s="11"/>
      <c r="F80" s="11"/>
      <c r="H80" s="11"/>
      <c r="I80" s="11"/>
      <c r="J80" s="11"/>
      <c r="L80" s="11"/>
      <c r="M80" s="11"/>
      <c r="N80" s="11"/>
      <c r="P80" s="11"/>
      <c r="Q80" s="11"/>
      <c r="R80" s="11"/>
      <c r="T80" s="11"/>
      <c r="U80" s="79"/>
      <c r="V80" s="79"/>
    </row>
    <row r="81" spans="1:22" ht="12" hidden="1">
      <c r="A81" s="6" t="s">
        <v>65</v>
      </c>
      <c r="B81" s="11"/>
      <c r="C81" s="11"/>
      <c r="D81" s="11"/>
      <c r="E81" s="11"/>
      <c r="F81" s="11"/>
      <c r="H81" s="11"/>
      <c r="I81" s="11"/>
      <c r="J81" s="11"/>
      <c r="L81" s="11"/>
      <c r="M81" s="11"/>
      <c r="N81" s="11"/>
      <c r="P81" s="11"/>
      <c r="Q81" s="11"/>
      <c r="R81" s="11"/>
      <c r="T81" s="11"/>
      <c r="U81" s="79"/>
      <c r="V81" s="79"/>
    </row>
    <row r="82" spans="1:22" ht="12" hidden="1">
      <c r="A82" s="6" t="s">
        <v>66</v>
      </c>
      <c r="B82" s="11"/>
      <c r="C82" s="11"/>
      <c r="D82" s="11"/>
      <c r="E82" s="11"/>
      <c r="F82" s="11"/>
      <c r="H82" s="11"/>
      <c r="I82" s="11"/>
      <c r="J82" s="11"/>
      <c r="L82" s="11"/>
      <c r="M82" s="11"/>
      <c r="N82" s="11"/>
      <c r="P82" s="11"/>
      <c r="Q82" s="11"/>
      <c r="R82" s="11"/>
      <c r="S82" s="39"/>
      <c r="T82" s="11"/>
      <c r="U82" s="79"/>
      <c r="V82" s="79"/>
    </row>
    <row r="83" spans="1:22" ht="12" hidden="1">
      <c r="A83" s="11"/>
      <c r="B83" s="11"/>
      <c r="C83" s="11"/>
      <c r="D83" s="11"/>
      <c r="E83" s="11"/>
      <c r="F83" s="11"/>
      <c r="H83" s="11"/>
      <c r="I83" s="11"/>
      <c r="J83" s="11"/>
      <c r="L83" s="11"/>
      <c r="M83" s="11"/>
      <c r="N83" s="11"/>
      <c r="P83" s="11"/>
      <c r="Q83" s="11"/>
      <c r="R83" s="11"/>
      <c r="T83" s="11"/>
      <c r="U83" s="79"/>
      <c r="V83" s="79"/>
    </row>
    <row r="84" spans="1:22" ht="12" hidden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T84" s="11"/>
      <c r="U84" s="79"/>
      <c r="V84" s="79"/>
    </row>
    <row r="85" spans="1:22" ht="12" hidden="1">
      <c r="A85" s="11" t="s">
        <v>68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T85" s="11"/>
      <c r="U85" s="79"/>
      <c r="V85" s="79"/>
    </row>
    <row r="86" spans="1:22" ht="15.75" hidden="1" customHeight="1">
      <c r="G86" s="11"/>
      <c r="K86" s="11"/>
      <c r="O86" s="11"/>
    </row>
    <row r="87" spans="1:22" ht="15.75" hidden="1" customHeight="1">
      <c r="G87" s="11"/>
      <c r="K87" s="11"/>
      <c r="O87" s="11"/>
    </row>
    <row r="88" spans="1:22" ht="15.75" hidden="1" customHeight="1">
      <c r="B88" s="11" t="s">
        <v>67</v>
      </c>
      <c r="C88" s="39">
        <v>-1645</v>
      </c>
      <c r="D88" s="39"/>
      <c r="E88" s="40">
        <f>D88/C88-1</f>
        <v>-1</v>
      </c>
      <c r="F88" s="11"/>
      <c r="G88" s="11"/>
      <c r="H88" s="39"/>
      <c r="I88" s="40" t="e">
        <f>H88/G88-1</f>
        <v>#DIV/0!</v>
      </c>
      <c r="J88" s="11"/>
      <c r="K88" s="11"/>
      <c r="L88" s="39"/>
      <c r="M88" s="40"/>
      <c r="N88" s="11"/>
      <c r="O88" s="11"/>
      <c r="P88" s="39"/>
      <c r="Q88" s="40"/>
      <c r="R88" s="11"/>
      <c r="S88" s="11">
        <v>-1645</v>
      </c>
      <c r="T88" s="39"/>
      <c r="U88" s="80"/>
      <c r="V88" s="79"/>
    </row>
    <row r="89" spans="1:22" ht="15.75" hidden="1" customHeight="1">
      <c r="G89" s="11"/>
      <c r="K89" s="11"/>
      <c r="O89" s="11"/>
    </row>
    <row r="90" spans="1:22" ht="15.75" hidden="1" customHeight="1">
      <c r="G90" s="11"/>
      <c r="K90" s="11"/>
      <c r="O90" s="11"/>
    </row>
    <row r="91" spans="1:22" ht="15.75" hidden="1" customHeight="1">
      <c r="G91" s="11"/>
      <c r="K91" s="11"/>
      <c r="O91" s="11"/>
    </row>
    <row r="92" spans="1:22" ht="15.75" hidden="1" customHeight="1">
      <c r="G92" s="11"/>
      <c r="K92" s="11"/>
      <c r="O92" s="11"/>
    </row>
    <row r="93" spans="1:22" ht="15.75" hidden="1" customHeight="1">
      <c r="G93" s="11"/>
      <c r="K93" s="11"/>
      <c r="O93" s="11"/>
    </row>
    <row r="94" spans="1:22" ht="15.75" hidden="1" customHeight="1">
      <c r="G94" s="11"/>
      <c r="K94" s="11"/>
      <c r="O94" s="11"/>
    </row>
    <row r="95" spans="1:22" ht="15.75" customHeight="1">
      <c r="G95" s="11"/>
      <c r="K95" s="11"/>
      <c r="O95" s="11"/>
    </row>
    <row r="96" spans="1:22" ht="15.75" customHeight="1">
      <c r="C96" s="308"/>
      <c r="D96" s="309"/>
      <c r="E96" s="310"/>
      <c r="F96" s="310"/>
      <c r="G96" s="309"/>
      <c r="H96" s="309"/>
      <c r="I96" s="310"/>
      <c r="J96" s="310"/>
      <c r="K96" s="309"/>
      <c r="L96" s="309"/>
      <c r="M96" s="310"/>
      <c r="N96" s="310"/>
      <c r="O96" s="309"/>
      <c r="P96" s="309"/>
      <c r="Q96" s="310"/>
      <c r="R96" s="310"/>
      <c r="S96" s="49"/>
      <c r="T96" s="49"/>
    </row>
    <row r="97" spans="7:15" ht="15.75" customHeight="1">
      <c r="G97" s="11"/>
      <c r="K97" s="11"/>
      <c r="O97" s="11"/>
    </row>
    <row r="98" spans="7:15" ht="15.75" customHeight="1">
      <c r="G98" s="11"/>
      <c r="K98" s="11"/>
      <c r="O98" s="11"/>
    </row>
    <row r="99" spans="7:15" ht="15.75" customHeight="1">
      <c r="G99" s="11"/>
      <c r="K99" s="11"/>
      <c r="O99" s="11"/>
    </row>
    <row r="100" spans="7:15" ht="15.75" customHeight="1">
      <c r="G100" s="11"/>
      <c r="K100" s="11"/>
      <c r="O100" s="11"/>
    </row>
    <row r="101" spans="7:15" ht="15.75" customHeight="1">
      <c r="G101" s="11"/>
      <c r="K101" s="11"/>
      <c r="O101" s="11"/>
    </row>
    <row r="102" spans="7:15" ht="15.75" customHeight="1">
      <c r="G102" s="11"/>
      <c r="K102" s="11"/>
      <c r="O102" s="11"/>
    </row>
    <row r="103" spans="7:15" ht="15.75" customHeight="1">
      <c r="G103" s="11"/>
      <c r="K103" s="11"/>
      <c r="O103" s="11"/>
    </row>
    <row r="104" spans="7:15" ht="15.75" customHeight="1">
      <c r="G104" s="11"/>
      <c r="K104" s="11"/>
      <c r="O104" s="11"/>
    </row>
    <row r="105" spans="7:15" ht="15.75" customHeight="1">
      <c r="G105" s="11"/>
      <c r="K105" s="11"/>
      <c r="O105" s="11"/>
    </row>
    <row r="106" spans="7:15" ht="15.75" customHeight="1">
      <c r="G106" s="11"/>
      <c r="K106" s="11"/>
      <c r="O106" s="11"/>
    </row>
    <row r="107" spans="7:15" ht="15.75" customHeight="1">
      <c r="G107" s="11"/>
      <c r="K107" s="11"/>
      <c r="O107" s="11"/>
    </row>
    <row r="108" spans="7:15" ht="15.75" customHeight="1">
      <c r="G108" s="11"/>
      <c r="K108" s="11"/>
      <c r="O108" s="11"/>
    </row>
    <row r="109" spans="7:15" ht="15.75" customHeight="1">
      <c r="G109" s="11"/>
      <c r="K109" s="11"/>
      <c r="O109" s="11"/>
    </row>
    <row r="110" spans="7:15" ht="15.75" customHeight="1">
      <c r="G110" s="11"/>
      <c r="K110" s="11"/>
      <c r="O110" s="11"/>
    </row>
    <row r="111" spans="7:15" ht="15.75" customHeight="1">
      <c r="G111" s="11"/>
      <c r="K111" s="11"/>
      <c r="O111" s="11"/>
    </row>
    <row r="112" spans="7:15" ht="15.75" customHeight="1">
      <c r="G112" s="11"/>
      <c r="K112" s="11"/>
      <c r="O112" s="11"/>
    </row>
    <row r="113" spans="7:15" ht="15.75" customHeight="1">
      <c r="G113" s="11"/>
      <c r="K113" s="11"/>
      <c r="O113" s="11"/>
    </row>
  </sheetData>
  <printOptions horizontalCentered="1"/>
  <pageMargins left="0.51181102362204722" right="0.51181102362204722" top="0.47244094488188981" bottom="0.35433070866141736" header="0.31496062992125984" footer="0.31496062992125984"/>
  <pageSetup scale="2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9CF4-A4A5-4C2D-BEB7-E127EA9B7D1B}">
  <sheetPr codeName="Planilha1"/>
  <dimension ref="A1:Q53"/>
  <sheetViews>
    <sheetView zoomScale="99" zoomScaleNormal="99" workbookViewId="0">
      <selection activeCell="A3" sqref="A3:A53"/>
    </sheetView>
  </sheetViews>
  <sheetFormatPr defaultColWidth="9.140625" defaultRowHeight="15"/>
  <cols>
    <col min="1" max="1" width="41.5703125" style="4" bestFit="1" customWidth="1"/>
    <col min="2" max="2" width="32.85546875" style="4" bestFit="1" customWidth="1"/>
    <col min="3" max="3" width="11.42578125" style="4" customWidth="1"/>
    <col min="4" max="4" width="10.85546875" style="4" customWidth="1"/>
    <col min="5" max="5" width="11.85546875" style="4" customWidth="1"/>
    <col min="6" max="6" width="11" style="4" customWidth="1"/>
    <col min="7" max="7" width="11.140625" style="4" customWidth="1"/>
    <col min="8" max="8" width="11.42578125" style="4" customWidth="1"/>
    <col min="9" max="10" width="11.140625" style="4" customWidth="1"/>
    <col min="11" max="11" width="11.5703125" style="4" customWidth="1"/>
    <col min="12" max="13" width="11.140625" style="4" customWidth="1"/>
    <col min="17" max="17" width="11.42578125" bestFit="1" customWidth="1"/>
  </cols>
  <sheetData>
    <row r="1" spans="1:17" ht="119.45" customHeight="1" thickBot="1"/>
    <row r="2" spans="1:17" ht="15.75" customHeight="1" thickBot="1">
      <c r="A2" s="327" t="s">
        <v>318</v>
      </c>
      <c r="B2" s="328"/>
      <c r="C2" s="360">
        <v>2011</v>
      </c>
      <c r="D2" s="360">
        <v>2012</v>
      </c>
      <c r="E2" s="360">
        <v>2013</v>
      </c>
      <c r="F2" s="360">
        <v>2014</v>
      </c>
      <c r="G2" s="360">
        <v>2015</v>
      </c>
      <c r="H2" s="360">
        <v>2016</v>
      </c>
      <c r="I2" s="360">
        <v>2017</v>
      </c>
      <c r="J2" s="360">
        <v>2018</v>
      </c>
      <c r="K2" s="360">
        <v>2019</v>
      </c>
      <c r="L2" s="360">
        <v>2020</v>
      </c>
      <c r="M2" s="360">
        <v>2021</v>
      </c>
      <c r="N2" s="1">
        <v>2022</v>
      </c>
      <c r="O2" s="5">
        <v>2023</v>
      </c>
      <c r="P2" s="5">
        <v>2024</v>
      </c>
    </row>
    <row r="3" spans="1:17" ht="15.75" customHeight="1">
      <c r="A3" s="329" t="s">
        <v>467</v>
      </c>
      <c r="B3" s="313"/>
      <c r="C3" s="361">
        <v>319857</v>
      </c>
      <c r="D3" s="362">
        <v>377133</v>
      </c>
      <c r="E3" s="362">
        <v>522864.00000000006</v>
      </c>
      <c r="F3" s="363">
        <v>501556</v>
      </c>
      <c r="G3" s="363">
        <v>491434</v>
      </c>
      <c r="H3" s="364">
        <v>443621.99999999994</v>
      </c>
      <c r="I3" s="363">
        <v>412361</v>
      </c>
      <c r="J3" s="363">
        <v>363499.73664000002</v>
      </c>
      <c r="K3" s="363">
        <v>378366.44312000007</v>
      </c>
      <c r="L3" s="363">
        <v>285105.17800999974</v>
      </c>
      <c r="M3" s="384">
        <v>350920.30887999985</v>
      </c>
      <c r="N3" s="23">
        <v>400492.21608000016</v>
      </c>
      <c r="O3" s="23">
        <v>395830.8989400001</v>
      </c>
      <c r="P3" s="23">
        <v>464305.99811000022</v>
      </c>
    </row>
    <row r="4" spans="1:17" ht="15.75" customHeight="1">
      <c r="A4" s="331" t="s">
        <v>468</v>
      </c>
      <c r="B4" s="331"/>
      <c r="C4" s="365">
        <v>-11633</v>
      </c>
      <c r="D4" s="365">
        <v>-9958.2513770875557</v>
      </c>
      <c r="E4" s="365">
        <v>-14437.999999999904</v>
      </c>
      <c r="F4" s="23">
        <v>-17795</v>
      </c>
      <c r="G4" s="23">
        <v>-22046</v>
      </c>
      <c r="H4" s="365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-15562.611319999996</v>
      </c>
      <c r="P4" s="23">
        <v>-15601.996949999961</v>
      </c>
    </row>
    <row r="5" spans="1:17" ht="15.75" customHeight="1">
      <c r="A5" s="330" t="s">
        <v>469</v>
      </c>
      <c r="B5" s="331"/>
      <c r="C5" s="364">
        <v>-47935</v>
      </c>
      <c r="D5" s="364">
        <v>-55935.611050000007</v>
      </c>
      <c r="E5" s="364">
        <v>-76839</v>
      </c>
      <c r="F5" s="363">
        <v>-72963</v>
      </c>
      <c r="G5" s="363">
        <v>-75586</v>
      </c>
      <c r="H5" s="364">
        <v>-65951.316800000001</v>
      </c>
      <c r="I5" s="363">
        <v>-61605</v>
      </c>
      <c r="J5" s="363">
        <v>-51514.476329999998</v>
      </c>
      <c r="K5" s="363">
        <v>-55731.880619999996</v>
      </c>
      <c r="L5" s="363">
        <v>-36955.979920000027</v>
      </c>
      <c r="M5" s="363">
        <v>-31144.227900000031</v>
      </c>
      <c r="N5" s="23">
        <v>-35852.520007156549</v>
      </c>
      <c r="O5" s="23">
        <v>-39207.958490926401</v>
      </c>
      <c r="P5" s="23">
        <v>-49932.785479999962</v>
      </c>
    </row>
    <row r="6" spans="1:17" ht="15.75" customHeight="1">
      <c r="A6" s="331" t="s">
        <v>470</v>
      </c>
      <c r="B6" s="331"/>
      <c r="C6" s="365">
        <v>1741</v>
      </c>
      <c r="D6" s="366">
        <v>1476</v>
      </c>
      <c r="E6" s="366">
        <v>2108.8207414252761</v>
      </c>
      <c r="F6" s="23">
        <v>2635</v>
      </c>
      <c r="G6" s="23">
        <v>3491</v>
      </c>
      <c r="H6" s="366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3">
        <v>1286.468590999018</v>
      </c>
      <c r="P6" s="23">
        <v>1508.7962626366023</v>
      </c>
    </row>
    <row r="7" spans="1:17" ht="15.75" customHeight="1">
      <c r="A7" s="330"/>
      <c r="B7" s="331"/>
      <c r="C7" s="367"/>
      <c r="D7" s="366"/>
      <c r="E7" s="366"/>
      <c r="F7" s="368"/>
      <c r="G7" s="368"/>
      <c r="H7" s="366"/>
      <c r="I7" s="368"/>
      <c r="J7" s="368"/>
      <c r="K7" s="26"/>
      <c r="L7" s="26"/>
      <c r="M7" s="26"/>
      <c r="N7" s="24"/>
      <c r="O7" s="24"/>
      <c r="P7" s="24"/>
    </row>
    <row r="8" spans="1:17" ht="15.75" customHeight="1">
      <c r="A8" s="314" t="s">
        <v>471</v>
      </c>
      <c r="B8" s="315"/>
      <c r="C8" s="369">
        <f>SUM(C3:C6)</f>
        <v>262030</v>
      </c>
      <c r="D8" s="369">
        <f t="shared" ref="D8:L8" si="0">SUM(D3:D6)</f>
        <v>312715.13757291244</v>
      </c>
      <c r="E8" s="369">
        <f t="shared" si="0"/>
        <v>433695.82074142544</v>
      </c>
      <c r="F8" s="369">
        <f t="shared" si="0"/>
        <v>413433</v>
      </c>
      <c r="G8" s="369">
        <f t="shared" si="0"/>
        <v>397293</v>
      </c>
      <c r="H8" s="369">
        <f t="shared" si="0"/>
        <v>360872.97414030397</v>
      </c>
      <c r="I8" s="369">
        <f t="shared" si="0"/>
        <v>340076</v>
      </c>
      <c r="J8" s="369">
        <f t="shared" si="0"/>
        <v>305696.17570524517</v>
      </c>
      <c r="K8" s="369">
        <f t="shared" si="0"/>
        <v>316226.27587170707</v>
      </c>
      <c r="L8" s="369">
        <f t="shared" si="0"/>
        <v>244607.38250886771</v>
      </c>
      <c r="M8" s="369">
        <v>314401.67791416938</v>
      </c>
      <c r="N8" s="8">
        <v>351231.59881359799</v>
      </c>
      <c r="O8" s="8">
        <v>342346.79772007267</v>
      </c>
      <c r="P8" s="8">
        <v>400280.01194263692</v>
      </c>
    </row>
    <row r="9" spans="1:17" ht="15.75" customHeight="1">
      <c r="A9" s="330"/>
      <c r="B9" s="331"/>
      <c r="C9" s="366"/>
      <c r="D9" s="366"/>
      <c r="E9" s="366"/>
      <c r="F9" s="368"/>
      <c r="G9" s="368"/>
      <c r="H9" s="366"/>
      <c r="I9" s="23"/>
      <c r="J9" s="23"/>
      <c r="K9" s="23"/>
      <c r="L9" s="23"/>
      <c r="M9" s="23"/>
      <c r="N9" s="23"/>
      <c r="O9" s="23"/>
      <c r="P9" s="23"/>
    </row>
    <row r="10" spans="1:17" ht="15.75" customHeight="1">
      <c r="A10" s="314" t="s">
        <v>472</v>
      </c>
      <c r="B10" s="315"/>
      <c r="C10" s="370">
        <v>166166</v>
      </c>
      <c r="D10" s="370">
        <v>187928</v>
      </c>
      <c r="E10" s="370">
        <v>250774</v>
      </c>
      <c r="F10" s="8">
        <v>229802</v>
      </c>
      <c r="G10" s="8">
        <v>206778</v>
      </c>
      <c r="H10" s="370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190550.0363354219</v>
      </c>
      <c r="O10" s="8">
        <v>189380.19772007267</v>
      </c>
      <c r="P10" s="8">
        <v>218850.22727103916</v>
      </c>
    </row>
    <row r="11" spans="1:17" ht="15.75" customHeight="1">
      <c r="A11" s="316" t="s">
        <v>473</v>
      </c>
      <c r="B11" s="316"/>
      <c r="C11" s="9">
        <f>C10/C8</f>
        <v>0.63414876159218414</v>
      </c>
      <c r="D11" s="9">
        <f t="shared" ref="D11:L11" si="1">D10/D8</f>
        <v>0.60095587779527571</v>
      </c>
      <c r="E11" s="9">
        <f t="shared" si="1"/>
        <v>0.57822553966807633</v>
      </c>
      <c r="F11" s="9">
        <f t="shared" si="1"/>
        <v>0.55583855183306607</v>
      </c>
      <c r="G11" s="9">
        <f t="shared" si="1"/>
        <v>0.52046726219691763</v>
      </c>
      <c r="H11" s="9">
        <f t="shared" si="1"/>
        <v>0.46991597124802392</v>
      </c>
      <c r="I11" s="9">
        <f t="shared" si="1"/>
        <v>0.4559951305002411</v>
      </c>
      <c r="J11" s="9">
        <f t="shared" si="1"/>
        <v>0.47975142432483103</v>
      </c>
      <c r="K11" s="9">
        <f t="shared" si="1"/>
        <v>0.3454583263166906</v>
      </c>
      <c r="L11" s="9">
        <f t="shared" si="1"/>
        <v>0.45950779918069407</v>
      </c>
      <c r="M11" s="9">
        <v>0.52536512848783778</v>
      </c>
      <c r="N11" s="9">
        <v>0.54251962801487186</v>
      </c>
      <c r="O11" s="9">
        <v>0.55318232558706015</v>
      </c>
      <c r="P11" s="9">
        <v>0.54674283187141004</v>
      </c>
    </row>
    <row r="12" spans="1:17" ht="15.75" customHeight="1">
      <c r="A12" s="330"/>
      <c r="B12" s="316"/>
      <c r="C12" s="366"/>
      <c r="D12" s="371"/>
      <c r="E12" s="371"/>
      <c r="F12" s="372"/>
      <c r="G12" s="42"/>
      <c r="H12" s="371"/>
      <c r="I12" s="372"/>
      <c r="J12" s="372"/>
      <c r="K12" s="371"/>
      <c r="L12" s="371"/>
      <c r="M12" s="371"/>
      <c r="N12" s="24"/>
      <c r="O12" s="24"/>
      <c r="P12" s="24"/>
    </row>
    <row r="13" spans="1:17" ht="15.75" customHeight="1">
      <c r="A13" s="314" t="s">
        <v>474</v>
      </c>
      <c r="B13" s="315"/>
      <c r="C13" s="370">
        <v>-69788</v>
      </c>
      <c r="D13" s="370">
        <v>-87861</v>
      </c>
      <c r="E13" s="370">
        <v>-132846</v>
      </c>
      <c r="F13" s="8">
        <v>-118936</v>
      </c>
      <c r="G13" s="8">
        <v>-129581</v>
      </c>
      <c r="H13" s="370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-88623</v>
      </c>
      <c r="P13" s="8">
        <v>-105589.26373000005</v>
      </c>
      <c r="Q13" s="386"/>
    </row>
    <row r="14" spans="1:17" ht="15.75" customHeight="1">
      <c r="A14" s="314" t="s">
        <v>475</v>
      </c>
      <c r="B14" s="315"/>
      <c r="C14" s="370"/>
      <c r="D14" s="370"/>
      <c r="E14" s="370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359"/>
    </row>
    <row r="15" spans="1:17" ht="179.45" hidden="1" customHeight="1">
      <c r="A15" s="314" t="s">
        <v>476</v>
      </c>
      <c r="B15" s="315"/>
      <c r="C15" s="370"/>
      <c r="D15" s="370"/>
      <c r="E15" s="370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359"/>
    </row>
    <row r="16" spans="1:17">
      <c r="A16" s="317" t="s">
        <v>477</v>
      </c>
      <c r="B16" s="317"/>
      <c r="C16" s="373">
        <v>-0.2663359157348395</v>
      </c>
      <c r="D16" s="373">
        <v>-0.28096177461033334</v>
      </c>
      <c r="E16" s="373">
        <v>-0.30631145989115816</v>
      </c>
      <c r="F16" s="373">
        <v>-0.28767901933324136</v>
      </c>
      <c r="G16" s="373">
        <v>-0.32615978635415172</v>
      </c>
      <c r="H16" s="373">
        <v>0.34386337823057539</v>
      </c>
      <c r="I16" s="373">
        <f>I13/I8</f>
        <v>-0.39013632246909513</v>
      </c>
      <c r="J16" s="373">
        <v>-0.37142106779077982</v>
      </c>
      <c r="K16" s="373">
        <v>-0.34047592695074708</v>
      </c>
      <c r="L16" s="373">
        <v>-0.32003172435784749</v>
      </c>
      <c r="M16" s="373">
        <v>-0.22330987692491522</v>
      </c>
      <c r="N16" s="10">
        <v>-0.23979903939309011</v>
      </c>
      <c r="O16" s="10">
        <v>-0.25886907834454037</v>
      </c>
      <c r="P16" s="10">
        <v>-0.26378849949952476</v>
      </c>
      <c r="Q16" s="359"/>
    </row>
    <row r="17" spans="1:17">
      <c r="A17" s="330"/>
      <c r="B17" s="331"/>
      <c r="C17" s="366"/>
      <c r="D17" s="366"/>
      <c r="E17" s="366"/>
      <c r="F17" s="368"/>
      <c r="G17" s="43"/>
      <c r="H17" s="25"/>
      <c r="I17" s="368"/>
      <c r="J17" s="368"/>
      <c r="K17" s="25"/>
      <c r="L17" s="25"/>
      <c r="M17" s="25"/>
      <c r="N17" s="24"/>
      <c r="O17" s="23"/>
      <c r="P17" s="23"/>
      <c r="Q17" s="359"/>
    </row>
    <row r="18" spans="1:17">
      <c r="A18" s="314" t="s">
        <v>478</v>
      </c>
      <c r="B18" s="315"/>
      <c r="C18" s="370">
        <v>-24415</v>
      </c>
      <c r="D18" s="370">
        <v>-27788</v>
      </c>
      <c r="E18" s="370">
        <v>-40504</v>
      </c>
      <c r="F18" s="8">
        <v>-33902</v>
      </c>
      <c r="G18" s="8">
        <v>-36416</v>
      </c>
      <c r="H18" s="370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-41299</v>
      </c>
      <c r="P18" s="8">
        <v>-40492.871306779016</v>
      </c>
      <c r="Q18" s="103"/>
    </row>
    <row r="19" spans="1:17">
      <c r="A19" s="317" t="s">
        <v>477</v>
      </c>
      <c r="B19" s="317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-0.10959435349787137</v>
      </c>
      <c r="O19" s="10">
        <v>-0.12063498264052415</v>
      </c>
      <c r="P19" s="10">
        <v>-0.10116136229300889</v>
      </c>
    </row>
    <row r="20" spans="1:17">
      <c r="A20" s="330"/>
      <c r="B20" s="331"/>
      <c r="C20" s="366"/>
      <c r="D20" s="366"/>
      <c r="E20" s="366"/>
      <c r="F20" s="368"/>
      <c r="G20" s="43"/>
      <c r="H20" s="366"/>
      <c r="I20" s="368"/>
      <c r="J20" s="368"/>
      <c r="K20" s="368"/>
      <c r="L20" s="368"/>
      <c r="M20" s="368"/>
      <c r="N20" s="24"/>
      <c r="O20" s="23"/>
      <c r="P20" s="23"/>
      <c r="Q20" s="103"/>
    </row>
    <row r="21" spans="1:17">
      <c r="A21" s="314" t="s">
        <v>479</v>
      </c>
      <c r="B21" s="315"/>
      <c r="C21" s="370">
        <v>26537</v>
      </c>
      <c r="D21" s="370">
        <v>-7520</v>
      </c>
      <c r="E21" s="370">
        <v>-28934</v>
      </c>
      <c r="F21" s="8">
        <v>-11784</v>
      </c>
      <c r="G21" s="8">
        <v>-9126</v>
      </c>
      <c r="H21" s="370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2257</v>
      </c>
      <c r="P21" s="8">
        <v>-6001.1664099999998</v>
      </c>
    </row>
    <row r="22" spans="1:17">
      <c r="A22" s="330"/>
      <c r="B22" s="331"/>
      <c r="C22" s="366"/>
      <c r="D22" s="366"/>
      <c r="E22" s="366"/>
      <c r="F22" s="368"/>
      <c r="G22" s="41"/>
      <c r="H22" s="366"/>
      <c r="I22" s="368"/>
      <c r="J22" s="368"/>
      <c r="K22" s="368"/>
      <c r="L22" s="368"/>
      <c r="M22" s="368"/>
      <c r="N22" s="24"/>
      <c r="O22" s="23"/>
      <c r="P22" s="23"/>
    </row>
    <row r="23" spans="1:17">
      <c r="A23" s="330" t="s">
        <v>480</v>
      </c>
      <c r="B23" s="331"/>
      <c r="C23" s="374">
        <f>C10+C13+C18+C21+C14+C15</f>
        <v>98500</v>
      </c>
      <c r="D23" s="374">
        <f t="shared" ref="D23:L23" si="2">D10+D13+D18+D21+D14+D15</f>
        <v>64759</v>
      </c>
      <c r="E23" s="374">
        <f t="shared" si="2"/>
        <v>48490</v>
      </c>
      <c r="F23" s="374">
        <f t="shared" si="2"/>
        <v>65180</v>
      </c>
      <c r="G23" s="374">
        <f t="shared" si="2"/>
        <v>31655</v>
      </c>
      <c r="H23" s="374">
        <f t="shared" si="2"/>
        <v>8544.9741403039661</v>
      </c>
      <c r="I23" s="374">
        <f t="shared" si="2"/>
        <v>-12773.390136322469</v>
      </c>
      <c r="J23" s="374">
        <f t="shared" si="2"/>
        <v>-2901.8242947548279</v>
      </c>
      <c r="K23" s="374">
        <f t="shared" si="2"/>
        <v>-126645</v>
      </c>
      <c r="L23" s="374">
        <f t="shared" si="2"/>
        <v>-9616</v>
      </c>
      <c r="M23" s="374">
        <v>50648.677914169384</v>
      </c>
      <c r="N23" s="23">
        <v>55601.036335421901</v>
      </c>
      <c r="O23" s="23">
        <v>61715.197720072669</v>
      </c>
      <c r="P23" s="23">
        <v>66766.925824260077</v>
      </c>
    </row>
    <row r="24" spans="1:17">
      <c r="A24" s="330"/>
      <c r="B24" s="331"/>
      <c r="C24" s="366"/>
      <c r="D24" s="366"/>
      <c r="E24" s="366"/>
      <c r="F24" s="368"/>
      <c r="G24" s="44"/>
      <c r="H24" s="366"/>
      <c r="I24" s="368"/>
      <c r="J24" s="368"/>
      <c r="K24" s="368"/>
      <c r="L24" s="368"/>
      <c r="M24" s="368"/>
      <c r="N24" s="24"/>
      <c r="O24" s="23"/>
      <c r="P24" s="23"/>
    </row>
    <row r="25" spans="1:17">
      <c r="A25" s="315" t="s">
        <v>481</v>
      </c>
      <c r="B25" s="315"/>
      <c r="C25" s="370">
        <v>-9288</v>
      </c>
      <c r="D25" s="370">
        <v>-3374</v>
      </c>
      <c r="E25" s="370">
        <v>-29310</v>
      </c>
      <c r="F25" s="8">
        <v>-40566</v>
      </c>
      <c r="G25" s="8">
        <v>-58084</v>
      </c>
      <c r="H25" s="370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-27125</v>
      </c>
      <c r="P25" s="8">
        <v>-25067.360720000001</v>
      </c>
    </row>
    <row r="26" spans="1:17">
      <c r="A26" s="315" t="s">
        <v>482</v>
      </c>
      <c r="B26" s="315"/>
      <c r="C26" s="370">
        <v>16592</v>
      </c>
      <c r="D26" s="370">
        <v>20034</v>
      </c>
      <c r="E26" s="370">
        <v>23764</v>
      </c>
      <c r="F26" s="8">
        <v>30667</v>
      </c>
      <c r="G26" s="8">
        <v>57485</v>
      </c>
      <c r="H26" s="370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30641</v>
      </c>
      <c r="P26" s="8">
        <v>43403.342913635977</v>
      </c>
    </row>
    <row r="27" spans="1:17">
      <c r="A27" s="314" t="s">
        <v>483</v>
      </c>
      <c r="B27" s="315"/>
      <c r="C27" s="370">
        <f>SUM(C25:C26)</f>
        <v>7304</v>
      </c>
      <c r="D27" s="370">
        <f t="shared" ref="D27:L27" si="3">SUM(D25:D26)</f>
        <v>16660</v>
      </c>
      <c r="E27" s="370">
        <f t="shared" si="3"/>
        <v>-5546</v>
      </c>
      <c r="F27" s="370">
        <f t="shared" si="3"/>
        <v>-9899</v>
      </c>
      <c r="G27" s="370">
        <f t="shared" si="3"/>
        <v>-599</v>
      </c>
      <c r="H27" s="370">
        <f t="shared" si="3"/>
        <v>-6690</v>
      </c>
      <c r="I27" s="370">
        <f t="shared" si="3"/>
        <v>-2499</v>
      </c>
      <c r="J27" s="370">
        <f t="shared" si="3"/>
        <v>4249</v>
      </c>
      <c r="K27" s="370">
        <f t="shared" si="3"/>
        <v>-5183</v>
      </c>
      <c r="L27" s="370">
        <f t="shared" si="3"/>
        <v>-24308</v>
      </c>
      <c r="M27" s="370">
        <v>-15031</v>
      </c>
      <c r="N27" s="8">
        <v>-9971</v>
      </c>
      <c r="O27" s="8">
        <v>3516</v>
      </c>
      <c r="P27" s="8">
        <v>18335.982193635977</v>
      </c>
    </row>
    <row r="28" spans="1:17">
      <c r="A28" s="330"/>
      <c r="B28" s="331"/>
      <c r="C28" s="366"/>
      <c r="D28" s="366"/>
      <c r="E28" s="366"/>
      <c r="F28" s="375"/>
      <c r="G28" s="41"/>
      <c r="H28" s="366"/>
      <c r="I28" s="375"/>
      <c r="J28" s="375"/>
      <c r="K28" s="375"/>
      <c r="L28" s="375"/>
      <c r="M28" s="375"/>
      <c r="N28" s="86"/>
      <c r="O28" s="86"/>
      <c r="P28" s="86"/>
    </row>
    <row r="29" spans="1:17">
      <c r="A29" s="330" t="s">
        <v>484</v>
      </c>
      <c r="B29" s="331"/>
      <c r="C29" s="366">
        <f>C23+C27</f>
        <v>105804</v>
      </c>
      <c r="D29" s="366">
        <f t="shared" ref="D29:L29" si="4">D23+D27</f>
        <v>81419</v>
      </c>
      <c r="E29" s="366">
        <f t="shared" si="4"/>
        <v>42944</v>
      </c>
      <c r="F29" s="366">
        <f t="shared" si="4"/>
        <v>55281</v>
      </c>
      <c r="G29" s="366">
        <f t="shared" si="4"/>
        <v>31056</v>
      </c>
      <c r="H29" s="366">
        <f t="shared" si="4"/>
        <v>1854.9741403039661</v>
      </c>
      <c r="I29" s="366">
        <f t="shared" si="4"/>
        <v>-15272.390136322469</v>
      </c>
      <c r="J29" s="366">
        <f t="shared" si="4"/>
        <v>1347.1757052451721</v>
      </c>
      <c r="K29" s="366">
        <f t="shared" si="4"/>
        <v>-131828</v>
      </c>
      <c r="L29" s="366">
        <f t="shared" si="4"/>
        <v>-33924</v>
      </c>
      <c r="M29" s="366">
        <v>35617.677914169384</v>
      </c>
      <c r="N29" s="23">
        <v>45630.036335421901</v>
      </c>
      <c r="O29" s="23">
        <v>65231.197720072669</v>
      </c>
      <c r="P29" s="23">
        <v>85102.908017896058</v>
      </c>
    </row>
    <row r="30" spans="1:17">
      <c r="A30" s="330"/>
      <c r="B30" s="331"/>
      <c r="C30" s="366"/>
      <c r="D30" s="366"/>
      <c r="E30" s="366"/>
      <c r="F30" s="23"/>
      <c r="G30" s="23"/>
      <c r="H30" s="366"/>
      <c r="I30" s="23">
        <v>0</v>
      </c>
      <c r="J30" s="23"/>
      <c r="K30" s="23"/>
      <c r="L30" s="23"/>
      <c r="M30" s="23"/>
      <c r="N30" s="23"/>
      <c r="O30" s="23"/>
      <c r="P30" s="23"/>
    </row>
    <row r="31" spans="1:17">
      <c r="A31" s="331" t="s">
        <v>485</v>
      </c>
      <c r="B31" s="331"/>
      <c r="C31" s="366">
        <v>-5992</v>
      </c>
      <c r="D31" s="366">
        <v>-6459</v>
      </c>
      <c r="E31" s="366">
        <v>-7244</v>
      </c>
      <c r="F31" s="23">
        <v>-7146</v>
      </c>
      <c r="G31" s="23">
        <v>-7223</v>
      </c>
      <c r="H31" s="366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-2620</v>
      </c>
      <c r="P31" s="23">
        <v>-11520.847135410997</v>
      </c>
    </row>
    <row r="32" spans="1:17">
      <c r="A32" s="331" t="s">
        <v>486</v>
      </c>
      <c r="B32" s="331"/>
      <c r="C32" s="366">
        <v>-10855</v>
      </c>
      <c r="D32" s="366">
        <v>-11196</v>
      </c>
      <c r="E32" s="366">
        <v>-4178</v>
      </c>
      <c r="F32" s="23">
        <v>-1907</v>
      </c>
      <c r="G32" s="23">
        <v>-1818</v>
      </c>
      <c r="H32" s="366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-6399</v>
      </c>
      <c r="P32" s="23">
        <v>-8747.6322700000001</v>
      </c>
    </row>
    <row r="33" spans="1:16">
      <c r="A33" s="314" t="s">
        <v>487</v>
      </c>
      <c r="B33" s="315"/>
      <c r="C33" s="370">
        <f>SUM(C31:C32)</f>
        <v>-16847</v>
      </c>
      <c r="D33" s="370">
        <f t="shared" ref="D33:L33" si="5">SUM(D31:D32)</f>
        <v>-17655</v>
      </c>
      <c r="E33" s="370">
        <f t="shared" si="5"/>
        <v>-11422</v>
      </c>
      <c r="F33" s="370">
        <f t="shared" si="5"/>
        <v>-9053</v>
      </c>
      <c r="G33" s="370">
        <f t="shared" si="5"/>
        <v>-9041</v>
      </c>
      <c r="H33" s="370">
        <f t="shared" si="5"/>
        <v>-3791</v>
      </c>
      <c r="I33" s="370">
        <f t="shared" si="5"/>
        <v>3188</v>
      </c>
      <c r="J33" s="370">
        <f t="shared" si="5"/>
        <v>13022</v>
      </c>
      <c r="K33" s="370">
        <f t="shared" si="5"/>
        <v>9174</v>
      </c>
      <c r="L33" s="370">
        <f t="shared" si="5"/>
        <v>5761</v>
      </c>
      <c r="M33" s="370">
        <v>-7537</v>
      </c>
      <c r="N33" s="8">
        <v>-5707</v>
      </c>
      <c r="O33" s="8">
        <v>-9019</v>
      </c>
      <c r="P33" s="8">
        <v>-20268.479405410995</v>
      </c>
    </row>
    <row r="34" spans="1:16">
      <c r="A34" s="330"/>
      <c r="B34" s="331"/>
      <c r="C34" s="366"/>
      <c r="D34" s="366"/>
      <c r="E34" s="366"/>
      <c r="F34" s="368"/>
      <c r="G34" s="7"/>
      <c r="H34" s="366"/>
      <c r="I34" s="368"/>
      <c r="J34" s="368"/>
      <c r="K34" s="368"/>
      <c r="L34" s="368"/>
      <c r="M34" s="368"/>
      <c r="N34" s="24"/>
      <c r="O34" s="24"/>
      <c r="P34" s="24"/>
    </row>
    <row r="35" spans="1:16">
      <c r="A35" s="314" t="s">
        <v>488</v>
      </c>
      <c r="B35" s="315"/>
      <c r="C35" s="370">
        <f>C29+C33</f>
        <v>88957</v>
      </c>
      <c r="D35" s="370">
        <f t="shared" ref="D35:L35" si="6">D29+D33</f>
        <v>63764</v>
      </c>
      <c r="E35" s="370">
        <f t="shared" si="6"/>
        <v>31522</v>
      </c>
      <c r="F35" s="370">
        <f t="shared" si="6"/>
        <v>46228</v>
      </c>
      <c r="G35" s="370">
        <f t="shared" si="6"/>
        <v>22015</v>
      </c>
      <c r="H35" s="370">
        <f t="shared" si="6"/>
        <v>-1936.0258596960339</v>
      </c>
      <c r="I35" s="370">
        <f t="shared" si="6"/>
        <v>-12084.390136322469</v>
      </c>
      <c r="J35" s="370">
        <f t="shared" si="6"/>
        <v>14369.175705245172</v>
      </c>
      <c r="K35" s="370">
        <f t="shared" si="6"/>
        <v>-122654</v>
      </c>
      <c r="L35" s="370">
        <f t="shared" si="6"/>
        <v>-28163</v>
      </c>
      <c r="M35" s="370">
        <v>28080.677914169384</v>
      </c>
      <c r="N35" s="8">
        <v>39923.036335421901</v>
      </c>
      <c r="O35" s="8">
        <v>56212.197720072669</v>
      </c>
      <c r="P35" s="8">
        <v>64834.428612485062</v>
      </c>
    </row>
    <row r="36" spans="1:16">
      <c r="A36" s="316" t="s">
        <v>489</v>
      </c>
      <c r="B36" s="316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0.11366584461727045</v>
      </c>
      <c r="O36" s="9">
        <v>0.16419665115733256</v>
      </c>
      <c r="P36" s="9">
        <v>0.16197268581518959</v>
      </c>
    </row>
    <row r="37" spans="1:16">
      <c r="A37" s="330"/>
      <c r="B37" s="331"/>
      <c r="C37" s="368"/>
      <c r="D37" s="368"/>
      <c r="E37" s="368"/>
      <c r="F37" s="368"/>
      <c r="G37" s="368"/>
      <c r="H37" s="376"/>
      <c r="I37" s="368"/>
      <c r="J37" s="368"/>
      <c r="K37" s="368"/>
      <c r="L37" s="368"/>
      <c r="M37" s="368"/>
      <c r="N37" s="24"/>
      <c r="O37" s="24"/>
      <c r="P37" s="24"/>
    </row>
    <row r="38" spans="1:16">
      <c r="A38" s="329" t="s">
        <v>490</v>
      </c>
      <c r="B38" s="320"/>
      <c r="C38" s="377">
        <v>-3147</v>
      </c>
      <c r="D38" s="378">
        <v>-5425</v>
      </c>
      <c r="E38" s="378">
        <v>-9599</v>
      </c>
      <c r="F38" s="23">
        <v>-13148.34042</v>
      </c>
      <c r="G38" s="23">
        <v>-14029</v>
      </c>
      <c r="H38" s="378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-9580</v>
      </c>
      <c r="P38" s="23">
        <v>-10537</v>
      </c>
    </row>
    <row r="39" spans="1:16">
      <c r="A39" s="329" t="s">
        <v>491</v>
      </c>
      <c r="B39" s="320"/>
      <c r="C39" s="377">
        <v>7189</v>
      </c>
      <c r="D39" s="378">
        <v>11074</v>
      </c>
      <c r="E39" s="378">
        <v>13116</v>
      </c>
      <c r="F39" s="23">
        <v>16594.183259999998</v>
      </c>
      <c r="G39" s="23">
        <v>39829.427649999998</v>
      </c>
      <c r="H39" s="378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16007.603759999996</v>
      </c>
      <c r="P39" s="23">
        <v>30033.440440000006</v>
      </c>
    </row>
    <row r="40" spans="1:16">
      <c r="A40" s="329" t="s">
        <v>492</v>
      </c>
      <c r="B40" s="320"/>
      <c r="C40" s="377">
        <v>9403</v>
      </c>
      <c r="D40" s="377">
        <v>8960</v>
      </c>
      <c r="E40" s="377">
        <v>10648.179258574701</v>
      </c>
      <c r="F40" s="23">
        <v>14081.99249759946</v>
      </c>
      <c r="G40" s="23">
        <v>17594.58786</v>
      </c>
      <c r="H40" s="378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14633.584358987637</v>
      </c>
      <c r="P40" s="23">
        <v>13369.902473635977</v>
      </c>
    </row>
    <row r="41" spans="1:16">
      <c r="A41" s="329" t="s">
        <v>481</v>
      </c>
      <c r="B41" s="320"/>
      <c r="C41" s="377">
        <v>-9288</v>
      </c>
      <c r="D41" s="377">
        <v>-3374</v>
      </c>
      <c r="E41" s="377">
        <v>-29310</v>
      </c>
      <c r="F41" s="23">
        <v>-40568.457139999999</v>
      </c>
      <c r="G41" s="23">
        <v>-58735.880399999995</v>
      </c>
      <c r="H41" s="378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-27125.163770000003</v>
      </c>
      <c r="P41" s="23">
        <v>-25067.360719999997</v>
      </c>
    </row>
    <row r="42" spans="1:16">
      <c r="A42" s="329" t="s">
        <v>493</v>
      </c>
      <c r="B42" s="320"/>
      <c r="C42" s="378">
        <v>-2070</v>
      </c>
      <c r="D42" s="379">
        <v>-6459</v>
      </c>
      <c r="E42" s="379">
        <v>-7106.2640999999985</v>
      </c>
      <c r="F42" s="23">
        <v>-7079.9619980000007</v>
      </c>
      <c r="G42" s="23">
        <v>-7222.3714499999996</v>
      </c>
      <c r="H42" s="378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-2620.7553816129998</v>
      </c>
      <c r="P42" s="23">
        <v>-11520.847135410999</v>
      </c>
    </row>
    <row r="43" spans="1:16">
      <c r="A43" s="329" t="s">
        <v>494</v>
      </c>
      <c r="B43" s="320"/>
      <c r="C43" s="377">
        <v>-10855</v>
      </c>
      <c r="D43" s="377">
        <v>-11196</v>
      </c>
      <c r="E43" s="377">
        <v>-4178</v>
      </c>
      <c r="F43" s="23">
        <v>-1908.3374199999998</v>
      </c>
      <c r="G43" s="23">
        <v>-1818.1681300000002</v>
      </c>
      <c r="H43" s="378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-6397.8176800000001</v>
      </c>
      <c r="P43" s="23">
        <v>-8747.6322700000019</v>
      </c>
    </row>
    <row r="44" spans="1:16">
      <c r="A44" s="314" t="s">
        <v>53</v>
      </c>
      <c r="B44" s="315"/>
      <c r="C44" s="370">
        <f>C35-SUM(C38:C43)</f>
        <v>97725</v>
      </c>
      <c r="D44" s="370">
        <f t="shared" ref="D44:L44" si="7">D35-SUM(D38:D43)</f>
        <v>70184</v>
      </c>
      <c r="E44" s="370">
        <f t="shared" si="7"/>
        <v>57951.084841425298</v>
      </c>
      <c r="F44" s="370">
        <f t="shared" si="7"/>
        <v>78256.921220400545</v>
      </c>
      <c r="G44" s="370">
        <f t="shared" si="7"/>
        <v>46396.404469999994</v>
      </c>
      <c r="H44" s="370">
        <f t="shared" si="7"/>
        <v>22959.628080100942</v>
      </c>
      <c r="I44" s="370">
        <f t="shared" si="7"/>
        <v>140.88288430401917</v>
      </c>
      <c r="J44" s="370">
        <f t="shared" si="7"/>
        <v>8375.8018714157861</v>
      </c>
      <c r="K44" s="370">
        <f t="shared" si="7"/>
        <v>-114404.52688279217</v>
      </c>
      <c r="L44" s="370">
        <f t="shared" si="7"/>
        <v>1433</v>
      </c>
      <c r="M44" s="370">
        <v>59518.578614169382</v>
      </c>
      <c r="N44" s="8">
        <v>65351.278079266805</v>
      </c>
      <c r="O44" s="8">
        <v>71294.746432698041</v>
      </c>
      <c r="P44" s="8">
        <v>77303.925824260077</v>
      </c>
    </row>
    <row r="45" spans="1:16">
      <c r="A45" s="346" t="s">
        <v>495</v>
      </c>
      <c r="B45" s="349"/>
      <c r="C45" s="380">
        <v>22621</v>
      </c>
      <c r="D45" s="380">
        <v>1706.677077851524</v>
      </c>
      <c r="E45" s="380">
        <v>-799.577</v>
      </c>
      <c r="F45" s="23">
        <v>-1206.526360097015</v>
      </c>
      <c r="G45" s="23">
        <v>-63.302908076515223</v>
      </c>
      <c r="H45" s="380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-2805.5360900000001</v>
      </c>
      <c r="P45" s="23">
        <v>-1784.0140200000001</v>
      </c>
    </row>
    <row r="46" spans="1:16">
      <c r="A46" s="347" t="s">
        <v>496</v>
      </c>
      <c r="B46" s="348"/>
      <c r="C46" s="380">
        <v>7150</v>
      </c>
      <c r="D46" s="380">
        <v>-1159.8243400000001</v>
      </c>
      <c r="E46" s="380">
        <v>-11678.14939</v>
      </c>
      <c r="F46" s="23">
        <v>1037.0412756000001</v>
      </c>
      <c r="G46" s="23">
        <v>-19758.476630000001</v>
      </c>
      <c r="H46" s="380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1653</v>
      </c>
      <c r="P46" s="23">
        <v>0</v>
      </c>
    </row>
    <row r="47" spans="1:16">
      <c r="A47" s="347" t="s">
        <v>497</v>
      </c>
      <c r="B47" s="348"/>
      <c r="C47" s="377">
        <v>0</v>
      </c>
      <c r="D47" s="380">
        <v>0</v>
      </c>
      <c r="E47" s="377">
        <v>-743.67</v>
      </c>
      <c r="F47" s="23">
        <v>-1509.1870000000001</v>
      </c>
      <c r="G47" s="23">
        <v>5375.1013999999996</v>
      </c>
      <c r="H47" s="380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1:16">
      <c r="A48" s="347" t="s">
        <v>498</v>
      </c>
      <c r="B48" s="348"/>
      <c r="C48" s="377">
        <v>0</v>
      </c>
      <c r="D48" s="380">
        <v>0</v>
      </c>
      <c r="E48" s="377">
        <v>-4554.58554</v>
      </c>
      <c r="F48" s="23">
        <v>-2635.1899100000001</v>
      </c>
      <c r="G48" s="23">
        <v>-771.45402000000001</v>
      </c>
      <c r="H48" s="380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</row>
    <row r="49" spans="1:16">
      <c r="A49" s="329" t="s">
        <v>499</v>
      </c>
      <c r="B49" s="320"/>
      <c r="C49" s="377">
        <v>-877</v>
      </c>
      <c r="D49" s="380">
        <v>0</v>
      </c>
      <c r="E49" s="377">
        <v>0</v>
      </c>
      <c r="F49" s="23">
        <v>0</v>
      </c>
      <c r="G49" s="23">
        <v>0</v>
      </c>
      <c r="H49" s="380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</row>
    <row r="50" spans="1:16">
      <c r="A50" s="347" t="s">
        <v>500</v>
      </c>
      <c r="B50" s="348"/>
      <c r="C50" s="377">
        <v>-9892</v>
      </c>
      <c r="D50" s="380">
        <v>-2424.9584500000001</v>
      </c>
      <c r="E50" s="377">
        <v>-6241.5990000000002</v>
      </c>
      <c r="F50" s="23">
        <v>-3830.0338200000001</v>
      </c>
      <c r="G50" s="23">
        <v>-4099.9849999999997</v>
      </c>
      <c r="H50" s="380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-14275.349873184568</v>
      </c>
      <c r="P50" s="23">
        <v>-14093.200687363358</v>
      </c>
    </row>
    <row r="51" spans="1:16">
      <c r="A51" s="347" t="s">
        <v>501</v>
      </c>
      <c r="B51" s="350"/>
      <c r="C51" s="381">
        <v>0</v>
      </c>
      <c r="D51" s="381">
        <v>-8482.2513770875557</v>
      </c>
      <c r="E51" s="381">
        <v>-12648.48400233217</v>
      </c>
      <c r="F51" s="23">
        <v>-15161.074877599462</v>
      </c>
      <c r="G51" s="23">
        <v>-18342.442920000001</v>
      </c>
      <c r="H51" s="382">
        <v>-16796.437820203028</v>
      </c>
      <c r="I51" s="340"/>
      <c r="J51" s="340">
        <v>28336.202229999999</v>
      </c>
      <c r="K51" s="340">
        <v>-110584.390763918</v>
      </c>
      <c r="L51" s="340">
        <v>0</v>
      </c>
      <c r="M51" s="340">
        <v>0</v>
      </c>
      <c r="N51" s="23">
        <v>0</v>
      </c>
      <c r="O51" s="23">
        <v>0</v>
      </c>
      <c r="P51" s="23">
        <v>0</v>
      </c>
    </row>
    <row r="52" spans="1:16" ht="15.75" thickBot="1">
      <c r="A52" s="318" t="s">
        <v>502</v>
      </c>
      <c r="B52" s="319"/>
      <c r="C52" s="383">
        <f>C44-SUM(C45:C51)</f>
        <v>78723</v>
      </c>
      <c r="D52" s="383">
        <f>D44-SUM(D45:D51)</f>
        <v>80544.357089236029</v>
      </c>
      <c r="E52" s="383">
        <f t="shared" ref="E52:G52" si="8">E44-SUM(E45:E51)</f>
        <v>94617.149773757468</v>
      </c>
      <c r="F52" s="383">
        <f>F44-SUM(F45:F51)</f>
        <v>101561.89191249703</v>
      </c>
      <c r="G52" s="383">
        <f t="shared" si="8"/>
        <v>84056.964548076503</v>
      </c>
      <c r="H52" s="383">
        <f>H44-SUM(H45:H51)</f>
        <v>46331.677970303972</v>
      </c>
      <c r="I52" s="383">
        <f t="shared" ref="I52:L52" si="9">I44-SUM(I45:I51)</f>
        <v>22014.294035117142</v>
      </c>
      <c r="J52" s="383">
        <f t="shared" si="9"/>
        <v>7990.9613684409251</v>
      </c>
      <c r="K52" s="383">
        <f t="shared" si="9"/>
        <v>15173.008459606499</v>
      </c>
      <c r="L52" s="383">
        <f t="shared" si="9"/>
        <v>6005</v>
      </c>
      <c r="M52" s="385">
        <v>63180.4082839658</v>
      </c>
      <c r="N52" s="95">
        <v>82415.375338512458</v>
      </c>
      <c r="O52" s="95">
        <v>86722.632395882611</v>
      </c>
      <c r="P52" s="95">
        <v>93181.14053162343</v>
      </c>
    </row>
    <row r="53" spans="1:16">
      <c r="A53" s="316" t="s">
        <v>503</v>
      </c>
      <c r="B53" s="316"/>
      <c r="C53" s="9">
        <f>C52/C8</f>
        <v>0.30043506468724956</v>
      </c>
      <c r="D53" s="9">
        <f t="shared" ref="D53:L53" si="10">D52/D8</f>
        <v>0.25756462483513887</v>
      </c>
      <c r="E53" s="9">
        <f t="shared" si="10"/>
        <v>0.21816477182557248</v>
      </c>
      <c r="F53" s="9">
        <f t="shared" si="10"/>
        <v>0.24565502006975018</v>
      </c>
      <c r="G53" s="9">
        <f t="shared" si="10"/>
        <v>0.21157424003965966</v>
      </c>
      <c r="H53" s="9">
        <f t="shared" si="10"/>
        <v>0.12838777434269893</v>
      </c>
      <c r="I53" s="9">
        <f t="shared" si="10"/>
        <v>6.4733453801847654E-2</v>
      </c>
      <c r="J53" s="9">
        <f t="shared" si="10"/>
        <v>2.6140207184488555E-2</v>
      </c>
      <c r="K53" s="9">
        <f t="shared" si="10"/>
        <v>4.7981491790271676E-2</v>
      </c>
      <c r="L53" s="9">
        <f t="shared" si="10"/>
        <v>2.4549545227983059E-2</v>
      </c>
      <c r="M53" s="9">
        <v>0.20095442461733248</v>
      </c>
      <c r="N53" s="416">
        <f>N52/N8</f>
        <v>0.2346468131480707</v>
      </c>
      <c r="O53" s="9">
        <v>0.25331807679648072</v>
      </c>
      <c r="P53" s="9">
        <v>0.23278989145472739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BP Price</vt:lpstr>
      <vt:lpstr>DRE Price</vt:lpstr>
      <vt:lpstr>Planilha Hélio</vt:lpstr>
      <vt:lpstr>Income Statement</vt:lpstr>
      <vt:lpstr>DFC Price</vt:lpstr>
      <vt:lpstr>Balanço Patrimonial</vt:lpstr>
      <vt:lpstr>Cash Flow</vt:lpstr>
      <vt:lpstr>Income Statement Hist</vt:lpstr>
      <vt:lpstr>'BP Price'!_GoBack</vt:lpstr>
      <vt:lpstr>'Balanço Patrimonial'!Area_de_impressao</vt:lpstr>
      <vt:lpstr>'Cash Flow'!Area_de_impressao</vt:lpstr>
      <vt:lpstr>'Income Statement'!Area_de_impressao</vt:lpstr>
      <vt:lpstr>'Planilha Hélio'!Area_de_impressao</vt:lpstr>
      <vt:lpstr>ATIVO</vt:lpstr>
      <vt:lpstr>DRE</vt:lpstr>
      <vt:lpstr>PASSIVO</vt:lpstr>
      <vt:lpstr>'Cash Flow'!Titulos_de_impressao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</dc:creator>
  <cp:lastModifiedBy>Danielle Gonçalves Barbosa</cp:lastModifiedBy>
  <cp:lastPrinted>2022-08-02T01:54:45Z</cp:lastPrinted>
  <dcterms:created xsi:type="dcterms:W3CDTF">2012-03-29T12:17:55Z</dcterms:created>
  <dcterms:modified xsi:type="dcterms:W3CDTF">2025-03-10T18:30:07Z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ee4297-1e16-445a-8601-c9f1c2b11fdb_Enabled">
    <vt:lpwstr>true</vt:lpwstr>
  </property>
  <property fmtid="{D5CDD505-2E9C-101B-9397-08002B2CF9AE}" pid="3" name="MSIP_Label_b8ee4297-1e16-445a-8601-c9f1c2b11fdb_SetDate">
    <vt:lpwstr>2023-03-01T23:28:49Z</vt:lpwstr>
  </property>
  <property fmtid="{D5CDD505-2E9C-101B-9397-08002B2CF9AE}" pid="4" name="MSIP_Label_b8ee4297-1e16-445a-8601-c9f1c2b11fdb_Method">
    <vt:lpwstr>Standard</vt:lpwstr>
  </property>
  <property fmtid="{D5CDD505-2E9C-101B-9397-08002B2CF9AE}" pid="5" name="MSIP_Label_b8ee4297-1e16-445a-8601-c9f1c2b11fdb_Name">
    <vt:lpwstr>Pública</vt:lpwstr>
  </property>
  <property fmtid="{D5CDD505-2E9C-101B-9397-08002B2CF9AE}" pid="6" name="MSIP_Label_b8ee4297-1e16-445a-8601-c9f1c2b11fdb_SiteId">
    <vt:lpwstr>1d8da5ad-b1a2-4f70-90b9-da2dfd7fc9e9</vt:lpwstr>
  </property>
  <property fmtid="{D5CDD505-2E9C-101B-9397-08002B2CF9AE}" pid="7" name="MSIP_Label_b8ee4297-1e16-445a-8601-c9f1c2b11fdb_ActionId">
    <vt:lpwstr>894c0d8c-0f50-44c3-bdd7-46d083b28a45</vt:lpwstr>
  </property>
  <property fmtid="{D5CDD505-2E9C-101B-9397-08002B2CF9AE}" pid="8" name="MSIP_Label_b8ee4297-1e16-445a-8601-c9f1c2b11fdb_ContentBits">
    <vt:lpwstr>0</vt:lpwstr>
  </property>
</Properties>
</file>