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2\1T22\Pacote Divulgação\"/>
    </mc:Choice>
  </mc:AlternateContent>
  <xr:revisionPtr revIDLastSave="0" documentId="8_{74A1D03F-9ED3-4EDE-B3E4-00782BC0062C}" xr6:coauthVersionLast="47" xr6:coauthVersionMax="47" xr10:uidLastSave="{00000000-0000-0000-0000-000000000000}"/>
  <bookViews>
    <workbookView xWindow="22932" yWindow="1332" windowWidth="23256" windowHeight="12576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_1524GLO">[1]perfil_fx_Hor!$T$10:$T$24</definedName>
    <definedName name="_214GLO">[1]perfil_fx_Hor!$N$10:$N$24</definedName>
    <definedName name="_2539GLO">[1]perfil_fx_Hor!$U$10:$U$24</definedName>
    <definedName name="_40GLO">[1]perfil_fx_Hor!$V$10:$V$24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[1]menu!$J$2:$J$13</definedName>
    <definedName name="_MES2">[1]menu!$K$3:$K$13</definedName>
    <definedName name="_MES3">[1]menu!$L$2:$L$13</definedName>
    <definedName name="_MES4">[1]menu!$M$2:$M$13</definedName>
    <definedName name="_MES5">[1]menu!$N$2:$N$13</definedName>
    <definedName name="_MES6">[1]menu!$O$2:$O$13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'[2]Ficha Técnica'!$A$12:$B$134</definedName>
    <definedName name="aas">#REF!</definedName>
    <definedName name="AB">#REF!</definedName>
    <definedName name="ABGLO">[3]perfil_fx_Hor!$P$10:$P$24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'[4]Resumo - Por Categoria'!$O$26</definedName>
    <definedName name="ana">[0]!_p1</definedName>
    <definedName name="Andina">'[5]FLOWCHART-02'!#REF!</definedName>
    <definedName name="AndreBiagi">'[5]FLOWCHART-02'!#REF!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Patrimonial'!$A$2:$H$67</definedName>
    <definedName name="_xlnm.Print_Area" localSheetId="3">DRE!$A$2:$AG$53</definedName>
    <definedName name="_xlnm.Print_Area" localSheetId="6">'Fluxo de caixa'!$A$2:$V$76</definedName>
    <definedName name="_xlnm.Print_Area" localSheetId="2">'Planilha Hélio'!$A$47:$L$93</definedName>
    <definedName name="_xlnm.Print_Area">#N/A</definedName>
    <definedName name="Área_impressão_IM">#REF!</definedName>
    <definedName name="AreEstimada">[6]Tabelas!$E$8:$F$19</definedName>
    <definedName name="AreFEE">[6]Tabelas!$E$39:$F$50</definedName>
    <definedName name="AreReal">[6]Tabelas!$E$24:$F$35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[3]perfil_fx_Hor!$D$10:$D$24</definedName>
    <definedName name="B">'[7]Ficha Técnica'!$A$12:$B$134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[8]MID!#REF!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'[9]Gerenciador de Cenários'!$C$2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'[4]Resumo - Por Categoria'!$O$20</definedName>
    <definedName name="CGLO">[3]perfil_fx_Hor!$Q$10:$Q$24</definedName>
    <definedName name="cinco">#REF!</definedName>
    <definedName name="çjk">[0]!_p1</definedName>
    <definedName name="claudia">#REF!</definedName>
    <definedName name="CODGLO">[3]perfil_fx_Hor!#REF!</definedName>
    <definedName name="CODTERRITORIO">#REF!</definedName>
    <definedName name="commid">[8]MID!#REF!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[3]perfil_fx_Hor!$I$10:$I$24</definedName>
    <definedName name="CPPGLO">[3]perfil_fx_Hor!$J$10:$J$24</definedName>
    <definedName name="criativa">#REF!</definedName>
    <definedName name="_xlnm.Criteria">#REF!</definedName>
    <definedName name="CUR">#REF!</definedName>
    <definedName name="CURITIBA">[0]!_p1</definedName>
    <definedName name="cutoff">[9]DRE!$AD$1</definedName>
    <definedName name="D">[0]!_p1</definedName>
    <definedName name="DADD">#REF!</definedName>
    <definedName name="DAN">[0]!_p1</definedName>
    <definedName name="DD">#REF!</definedName>
    <definedName name="DdaHoraPgPerc">[10]dHora!$D$307:$W$354</definedName>
    <definedName name="DDD">#REF!</definedName>
    <definedName name="DDDDDD">#REF!</definedName>
    <definedName name="DEGLO">[3]perfil_fx_Hor!$R$10:$R$24</definedName>
    <definedName name="Delta">'[11]Resumo - Por Categoria'!$Q$23</definedName>
    <definedName name="DeltaMORMAII">'[4]Resumo - Por Categoria'!$Q$22</definedName>
    <definedName name="DeltaSEIKO">'[4]Resumo - Por Categoria'!$Q$24</definedName>
    <definedName name="DeltaTECHNOS">'[4]Resumo - Por Categoria'!$Q$21</definedName>
    <definedName name="DeltaTP">'[4]Resumo - Por Categoria'!$Q$23</definedName>
    <definedName name="devers2">[12]MêsBase!$A$2:$Q$64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[10]dHora!$D$358:$Z$414</definedName>
    <definedName name="DhAcesAbsAcum">[10]dHora!$D$422:$Y$478</definedName>
    <definedName name="DhAcesPer">[10]dHora!$AD$358:$BC$414</definedName>
    <definedName name="DhAcesPerAcum">[10]dHora!$AD$422:$BC$478</definedName>
    <definedName name="DhAcesPerc">[10]dHora!$D$422:$Y$478</definedName>
    <definedName name="DhPgAbs">[10]dHora!$D$40:$Y$85</definedName>
    <definedName name="DhPgAbsAcum">[10]dHora!$D$255:$W$299</definedName>
    <definedName name="DhPgPerAcum">[10]dHora!$D$200:$Y$244</definedName>
    <definedName name="DhPgPerc">[10]dHora!$D$92:$Y$137</definedName>
    <definedName name="DIAGLO">[3]perfil_fx_Hor!#REF!</definedName>
    <definedName name="DICNOMEBL_Mun">#REF!</definedName>
    <definedName name="DICNOMEBL_UF">#REF!</definedName>
    <definedName name="dinossauro">#REF!</definedName>
    <definedName name="dirj">#REF!</definedName>
    <definedName name="dissidio">'[13]Premissas Macro'!$AA$5</definedName>
    <definedName name="Distritos">#REF!</definedName>
    <definedName name="Divers">[14]MêsBase!$A$2:$Q$64</definedName>
    <definedName name="DN">[0]!_p1</definedName>
    <definedName name="Doac">[15]Tabelas!$E$24:$F$35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[3]perfil_fx_Hor!$H$10:$H$24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[13]RESUMO!$K$1</definedName>
    <definedName name="EVA10GLO">[3]perfil_fx_Hor!#REF!</definedName>
    <definedName name="EVA11GLO">[3]perfil_fx_Hor!#REF!</definedName>
    <definedName name="EVA12GLO">[3]perfil_fx_Hor!#REF!</definedName>
    <definedName name="EVA13GLO">[3]perfil_fx_Hor!#REF!</definedName>
    <definedName name="EVA1GLO">[3]perfil_fx_Hor!#REF!</definedName>
    <definedName name="EVA2GLO">[3]perfil_fx_Hor!#REF!</definedName>
    <definedName name="EVA3GLO">[3]perfil_fx_Hor!#REF!</definedName>
    <definedName name="EVA4GLO">[3]perfil_fx_Hor!#REF!</definedName>
    <definedName name="EVA5GLO">[3]perfil_fx_Hor!#REF!</definedName>
    <definedName name="EVA6GLO">[3]perfil_fx_Hor!#REF!</definedName>
    <definedName name="EVA7GLO">[3]perfil_fx_Hor!#REF!</definedName>
    <definedName name="EVA8GLO">[3]perfil_fx_Hor!#REF!</definedName>
    <definedName name="EVA9GLO">[3]perfil_fx_Hor!#REF!</definedName>
    <definedName name="EVCPM10GLO">[3]perfil_fx_Hor!#REF!</definedName>
    <definedName name="EVCPM11GLO">[3]perfil_fx_Hor!#REF!</definedName>
    <definedName name="EVCPM12GLO">[3]perfil_fx_Hor!#REF!</definedName>
    <definedName name="EVCPM13GLO">[3]perfil_fx_Hor!#REF!</definedName>
    <definedName name="EVCPM1GLO">[3]perfil_fx_Hor!#REF!</definedName>
    <definedName name="EVCPM2GLO">[3]perfil_fx_Hor!#REF!</definedName>
    <definedName name="EVCPM3GLO">[3]perfil_fx_Hor!#REF!</definedName>
    <definedName name="EVCPM4GLO">[3]perfil_fx_Hor!#REF!</definedName>
    <definedName name="EVCPM5GLO">[3]perfil_fx_Hor!#REF!</definedName>
    <definedName name="EVCPM6GLO">[3]perfil_fx_Hor!#REF!</definedName>
    <definedName name="EVCPM7GLO">[3]perfil_fx_Hor!#REF!</definedName>
    <definedName name="EVCPM8GLO">[3]perfil_fx_Hor!#REF!</definedName>
    <definedName name="EVCPM9GLO">[3]perfil_fx_Hor!#REF!</definedName>
    <definedName name="EVP10GLO">[3]perfil_fx_Hor!#REF!</definedName>
    <definedName name="EVP11GLO">[3]perfil_fx_Hor!#REF!</definedName>
    <definedName name="EVP12GLO">[3]perfil_fx_Hor!#REF!</definedName>
    <definedName name="EVP13GLO">[3]perfil_fx_Hor!#REF!</definedName>
    <definedName name="EVP1GLO">[3]perfil_fx_Hor!#REF!</definedName>
    <definedName name="EVP2GLO">[3]perfil_fx_Hor!#REF!</definedName>
    <definedName name="EVP3GLO">[3]perfil_fx_Hor!#REF!</definedName>
    <definedName name="EVP4GLO">[3]perfil_fx_Hor!#REF!</definedName>
    <definedName name="EVP5GLO">[3]perfil_fx_Hor!#REF!</definedName>
    <definedName name="EVP6GLO">[3]perfil_fx_Hor!#REF!</definedName>
    <definedName name="EVP7GLO">[3]perfil_fx_Hor!#REF!</definedName>
    <definedName name="EVP8GLO">[3]perfil_fx_Hor!#REF!</definedName>
    <definedName name="EVP9GLO">[3]perfil_fx_Hor!#REF!</definedName>
    <definedName name="F" hidden="1">#REF!</definedName>
    <definedName name="Fábio">#REF!</definedName>
    <definedName name="fabioa">[16]OBS!$B$21:$D$22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[8]mapa!#REF!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[3]menu!$I$22:$I$23</definedName>
    <definedName name="FXHOR1824">[3]menu!$I$17:$I$19</definedName>
    <definedName name="G" hidden="1">#REF!</definedName>
    <definedName name="GENGLO">[3]perfil_fx_Hor!#REF!</definedName>
    <definedName name="GER">#REF!</definedName>
    <definedName name="Geral">#REF!</definedName>
    <definedName name="gestores">[17]Plan1!$C$2:$C$37+#REF!</definedName>
    <definedName name="ggg">[0]!_p1</definedName>
    <definedName name="GNDFNGL">#REF!</definedName>
    <definedName name="gr">#REF!</definedName>
    <definedName name="grp">'[18]PROG. TV aberta CA'!#REF!,'[18]PROG. TV aberta CA'!#REF!,'[18]PROG. TV aberta CA'!#REF!,'[18]PROG. TV aberta CA'!#REF!,'[18]PROG. TV aberta CA'!#REF!</definedName>
    <definedName name="grupo1">'[19]Resumo por P'!$M$27</definedName>
    <definedName name="grupo2">'[19]Resumo por P'!$M$28</definedName>
    <definedName name="grupo3">'[19]Resumo por P'!$M$29</definedName>
    <definedName name="Grupos">#REF!</definedName>
    <definedName name="GYFTHJYJ">#REF!</definedName>
    <definedName name="HGLO">[3]perfil_fx_Hor!$L$10:$L$24</definedName>
    <definedName name="hkç">#REF!</definedName>
    <definedName name="HORGLO">[3]perfil_fx_Hor!#REF!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[20]sispecabr99!#REF!</definedName>
    <definedName name="IMPRESSÃO">[21]!IMPRESSÃO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[22]!IMPRIME</definedName>
    <definedName name="ImprimePrevisto">#REF!</definedName>
    <definedName name="ImprimeRealizado">'[23]Região Sul'!#REF!</definedName>
    <definedName name="ImprimeSaldo">'[23]Região Sul'!#REF!</definedName>
    <definedName name="IMPRIMIRMAPA">#REF!</definedName>
    <definedName name="imprimirmidia">#REF!</definedName>
    <definedName name="inclusão_de_novos_campos">#REF!</definedName>
    <definedName name="IndConGlo">[3]perfil_fx_Hor!#REF!</definedName>
    <definedName name="Informativos">#REF!</definedName>
    <definedName name="INSERÇÃO">'[18]PROG. TV aberta CA'!$F$1:$F$65536,'[18]PROG. TV aberta CA'!$H$1:$H$65536,'[18]PROG. TV aberta CA'!$J$1:$J$65536,'[18]PROG. TV aberta CA'!$L$1:$L$65536,'[18]PROG. TV aberta CA'!$N$1:$N$65536,'[18]PROG. TV aberta CA'!$P$1:$P$65536,'[18]PROG. TV aberta CA'!$R$1:$R$65536,'[18]PROG. TV aberta CA'!$T$1:$T$65536,'[18]PROG. TV aberta CA'!$V$1:$V$65536,'[18]PROG. TV aberta CA'!$X$1:$X$65536,'[18]PROG. TV aberta CA'!$Z$1:$Z$65536,'[18]PROG. TV aberta CA'!$AB$1:$AB$65536</definedName>
    <definedName name="INTERIOR">'[18]PROG. TV aberta FOX'!#REF!</definedName>
    <definedName name="internet2">[0]!_p1</definedName>
    <definedName name="IO">[0]!_p1</definedName>
    <definedName name="IPCA">'[9]Premissas - Macro'!$D$9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[8]!KITZELIA.KITZELIA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[24]CEARA!#REF!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[25]GREG1!#REF!</definedName>
    <definedName name="marketing">[25]GREG1!#REF!</definedName>
    <definedName name="Marylena">#REF!</definedName>
    <definedName name="mb">#REF!</definedName>
    <definedName name="media">[25]GREG1!#REF!</definedName>
    <definedName name="merc">#REF!</definedName>
    <definedName name="merch">#REF!</definedName>
    <definedName name="Merchandising">[0]!_p1</definedName>
    <definedName name="MESACUMULADO">[3]menu!$I$2:$I$13</definedName>
    <definedName name="Meses">#REF!</definedName>
    <definedName name="MGLO">[3]perfil_fx_Hor!$M$10:$M$24</definedName>
    <definedName name="MÍDIAEXTERIORjan">[0]!_p1</definedName>
    <definedName name="MKT">[4]Publicidade!$D$2</definedName>
    <definedName name="MKTGROSSUP">[4]Publicidade!$D$3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[3]perfil_fx_Hor!$F$10:$F$24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'[26]Budget Coca-Cola'!#REF!</definedName>
    <definedName name="nova">#REF!</definedName>
    <definedName name="novo">#REF!</definedName>
    <definedName name="NRB">[0]!_p1</definedName>
    <definedName name="NUMERODEORDEM">#REF!</definedName>
    <definedName name="NUMGLO">[3]perfil_fx_Hor!$A$10:$A$24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'[27]Ficha Técnica'!$A$12:$B$134</definedName>
    <definedName name="Out_96">'[19]Resumo por P'!$J$27</definedName>
    <definedName name="P">#REF!</definedName>
    <definedName name="painel">#REF!</definedName>
    <definedName name="PARGLO">[3]perfil_fx_Hor!$E$10:$E$24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[3]perfil_fx_Hor!#REF!</definedName>
    <definedName name="PB">#REF!</definedName>
    <definedName name="PBA">#REF!</definedName>
    <definedName name="pegn">#REF!</definedName>
    <definedName name="perfilglobo">#REF!</definedName>
    <definedName name="PGLO">[3]perfil_fx_Hor!$C$10:$C$24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[28]Resumo_Cobertura!$B$13</definedName>
    <definedName name="playboy">#REF!</definedName>
    <definedName name="PLR">[13]RESUMO!$Z$1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[3]menu!$Q$4:$Q$14</definedName>
    <definedName name="Pré2">[0]!_p1</definedName>
    <definedName name="PRGLO">[3]perfil_fx_Hor!$K$10:$K$24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[29]Tab!$A$3:$O$18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[30]plamarc!#REF!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[25]GREG1!#REF!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[31]Sispec!$A$1:$M$65536</definedName>
    <definedName name="Sispec00">#REF!</definedName>
    <definedName name="Sispec98">#REF!</definedName>
    <definedName name="Sispec99">[32]Sispec99!$A$1:$M$65536</definedName>
    <definedName name="SispecPSAP">[33]SispecPSAP!$A$1:$M$65536</definedName>
    <definedName name="SJC">#REF!</definedName>
    <definedName name="SJR">#REF!</definedName>
    <definedName name="SOR">#REF!</definedName>
    <definedName name="South">'[26]Budget Coca-Cola'!#REF!</definedName>
    <definedName name="SP">[3]BAUD!$A$1:$S$2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'[27]Ficha Técnica'!$A$12:$B$134</definedName>
    <definedName name="t">#REF!</definedName>
    <definedName name="Tab.Participação">[6]Tabelas!$A$8:$C$73</definedName>
    <definedName name="Tabela">#REF!</definedName>
    <definedName name="tabelatab">#REF!</definedName>
    <definedName name="TabEmp">[31]Tabelas!$A$1:$C$73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[3]perfil_fx_Hor!$G$10:$G$24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[30]plamarc!#REF!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'[34]Projeção de Ganhos'!$F$7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[8]mapa!#REF!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[35]Tabelas!$E$24:$F$35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2" l="1"/>
  <c r="E64" i="3" l="1"/>
  <c r="E66" i="3" s="1"/>
  <c r="D47" i="12" l="1"/>
  <c r="F53" i="3"/>
  <c r="G5" i="3"/>
  <c r="H5" i="3"/>
  <c r="C47" i="12"/>
  <c r="D23" i="12"/>
  <c r="D36" i="12" s="1"/>
  <c r="C23" i="12"/>
  <c r="F64" i="3" l="1"/>
  <c r="F66" i="3" s="1"/>
  <c r="F26" i="3"/>
  <c r="F67" i="3" l="1"/>
  <c r="O6" i="1" l="1"/>
  <c r="O4" i="1"/>
  <c r="N52" i="1"/>
  <c r="N53" i="1" s="1"/>
  <c r="AE45" i="1"/>
  <c r="N44" i="1"/>
  <c r="AE43" i="1"/>
  <c r="AE41" i="1"/>
  <c r="AE40" i="1"/>
  <c r="AE39" i="1"/>
  <c r="AE38" i="1"/>
  <c r="AE51" i="1"/>
  <c r="AE50" i="1"/>
  <c r="AE49" i="1"/>
  <c r="AE48" i="1"/>
  <c r="AE47" i="1"/>
  <c r="AE46" i="1"/>
  <c r="AE42" i="1"/>
  <c r="AD51" i="1"/>
  <c r="AD50" i="1"/>
  <c r="AD49" i="1"/>
  <c r="AD48" i="1"/>
  <c r="AD47" i="1"/>
  <c r="AD46" i="1"/>
  <c r="AD45" i="1"/>
  <c r="AD43" i="1"/>
  <c r="AD42" i="1"/>
  <c r="AD41" i="1"/>
  <c r="AD40" i="1"/>
  <c r="AD39" i="1"/>
  <c r="AD38" i="1"/>
  <c r="O5" i="1" l="1"/>
  <c r="O3" i="1"/>
  <c r="N36" i="1"/>
  <c r="N35" i="1"/>
  <c r="O32" i="1"/>
  <c r="N23" i="1"/>
  <c r="N19" i="1"/>
  <c r="N16" i="1"/>
  <c r="N11" i="1"/>
  <c r="N10" i="1"/>
  <c r="O31" i="1"/>
  <c r="O26" i="1"/>
  <c r="O25" i="1"/>
  <c r="O27" i="1" l="1"/>
  <c r="O33" i="1"/>
  <c r="O21" i="1"/>
  <c r="O18" i="1"/>
  <c r="O14" i="1"/>
  <c r="O13" i="1"/>
  <c r="AD8" i="1"/>
  <c r="AD10" i="1" s="1"/>
  <c r="AD23" i="1" s="1"/>
  <c r="O9" i="1"/>
  <c r="O8" i="1"/>
  <c r="O19" i="1" l="1"/>
  <c r="O16" i="1"/>
  <c r="O10" i="1"/>
  <c r="AE10" i="1"/>
  <c r="T3" i="1"/>
  <c r="U3" i="1"/>
  <c r="X3" i="1"/>
  <c r="Y3" i="1"/>
  <c r="AA3" i="1"/>
  <c r="AC3" i="1" s="1"/>
  <c r="T4" i="1"/>
  <c r="U4" i="1"/>
  <c r="X4" i="1"/>
  <c r="Y4" i="1"/>
  <c r="AA4" i="1"/>
  <c r="AB4" i="1" s="1"/>
  <c r="T5" i="1"/>
  <c r="U5" i="1"/>
  <c r="X5" i="1"/>
  <c r="Y5" i="1"/>
  <c r="AA5" i="1"/>
  <c r="AC5" i="1" s="1"/>
  <c r="T6" i="1"/>
  <c r="U6" i="1"/>
  <c r="X6" i="1"/>
  <c r="Y6" i="1"/>
  <c r="AA6" i="1"/>
  <c r="AB6" i="1" s="1"/>
  <c r="T8" i="1"/>
  <c r="U8" i="1"/>
  <c r="X8" i="1"/>
  <c r="Y8" i="1"/>
  <c r="AA9" i="1"/>
  <c r="AC9" i="1" s="1"/>
  <c r="T10" i="1"/>
  <c r="U10" i="1"/>
  <c r="X10" i="1"/>
  <c r="Y10" i="1"/>
  <c r="U11" i="1"/>
  <c r="Y11" i="1"/>
  <c r="X12" i="1"/>
  <c r="T13" i="1"/>
  <c r="U13" i="1"/>
  <c r="X13" i="1"/>
  <c r="Y13" i="1"/>
  <c r="AA13" i="1"/>
  <c r="AB13" i="1" s="1"/>
  <c r="T14" i="1"/>
  <c r="U14" i="1"/>
  <c r="Y14" i="1"/>
  <c r="AA14" i="1"/>
  <c r="AB14" i="1" s="1"/>
  <c r="U16" i="1"/>
  <c r="Y16" i="1"/>
  <c r="T18" i="1"/>
  <c r="U18" i="1"/>
  <c r="X18" i="1"/>
  <c r="Y18" i="1"/>
  <c r="AA18" i="1"/>
  <c r="AB18" i="1" s="1"/>
  <c r="U19" i="1"/>
  <c r="Y19" i="1"/>
  <c r="AC19" i="1"/>
  <c r="T21" i="1"/>
  <c r="U21" i="1"/>
  <c r="X21" i="1"/>
  <c r="Y21" i="1"/>
  <c r="AA21" i="1"/>
  <c r="AB21" i="1" s="1"/>
  <c r="T23" i="1"/>
  <c r="U23" i="1"/>
  <c r="X23" i="1"/>
  <c r="Y23" i="1"/>
  <c r="T25" i="1"/>
  <c r="U25" i="1"/>
  <c r="X25" i="1"/>
  <c r="Y25" i="1"/>
  <c r="AA25" i="1"/>
  <c r="AB25" i="1" s="1"/>
  <c r="T26" i="1"/>
  <c r="U26" i="1"/>
  <c r="X26" i="1"/>
  <c r="Y26" i="1"/>
  <c r="AA26" i="1"/>
  <c r="AB26" i="1" s="1"/>
  <c r="T27" i="1"/>
  <c r="U27" i="1"/>
  <c r="X27" i="1"/>
  <c r="Y27" i="1"/>
  <c r="T29" i="1"/>
  <c r="U29" i="1"/>
  <c r="X29" i="1"/>
  <c r="Y29" i="1"/>
  <c r="U31" i="1"/>
  <c r="X31" i="1"/>
  <c r="Y31" i="1"/>
  <c r="AA31" i="1"/>
  <c r="AB31" i="1" s="1"/>
  <c r="T32" i="1"/>
  <c r="U32" i="1"/>
  <c r="X32" i="1"/>
  <c r="Y32" i="1"/>
  <c r="AA32" i="1"/>
  <c r="AC32" i="1" s="1"/>
  <c r="T33" i="1"/>
  <c r="U33" i="1"/>
  <c r="X33" i="1"/>
  <c r="Y33" i="1"/>
  <c r="T35" i="1"/>
  <c r="U35" i="1"/>
  <c r="X35" i="1"/>
  <c r="Y35" i="1"/>
  <c r="U36" i="1"/>
  <c r="Y36" i="1"/>
  <c r="T38" i="1"/>
  <c r="U38" i="1"/>
  <c r="X38" i="1"/>
  <c r="Y38" i="1"/>
  <c r="AB38" i="1"/>
  <c r="AC38" i="1"/>
  <c r="T39" i="1"/>
  <c r="U39" i="1"/>
  <c r="X39" i="1"/>
  <c r="Y39" i="1"/>
  <c r="AB39" i="1"/>
  <c r="AC39" i="1"/>
  <c r="T40" i="1"/>
  <c r="U40" i="1"/>
  <c r="X40" i="1"/>
  <c r="Y40" i="1"/>
  <c r="AB40" i="1"/>
  <c r="AC40" i="1"/>
  <c r="T41" i="1"/>
  <c r="U41" i="1"/>
  <c r="X41" i="1"/>
  <c r="Y41" i="1"/>
  <c r="AB41" i="1"/>
  <c r="AC41" i="1"/>
  <c r="U42" i="1"/>
  <c r="X42" i="1"/>
  <c r="Y42" i="1"/>
  <c r="AB42" i="1"/>
  <c r="AC42" i="1"/>
  <c r="T43" i="1"/>
  <c r="U43" i="1"/>
  <c r="X43" i="1"/>
  <c r="Y43" i="1"/>
  <c r="AB43" i="1"/>
  <c r="AC43" i="1"/>
  <c r="T44" i="1"/>
  <c r="U44" i="1"/>
  <c r="X44" i="1"/>
  <c r="Y44" i="1"/>
  <c r="T45" i="1"/>
  <c r="U45" i="1"/>
  <c r="X45" i="1"/>
  <c r="Y45" i="1"/>
  <c r="AB45" i="1"/>
  <c r="AC45" i="1"/>
  <c r="T46" i="1"/>
  <c r="U46" i="1"/>
  <c r="X46" i="1"/>
  <c r="Y46" i="1"/>
  <c r="AB46" i="1"/>
  <c r="AC46" i="1"/>
  <c r="T47" i="1"/>
  <c r="U47" i="1"/>
  <c r="X47" i="1"/>
  <c r="Y47" i="1"/>
  <c r="AB47" i="1"/>
  <c r="AC47" i="1"/>
  <c r="T48" i="1"/>
  <c r="U48" i="1"/>
  <c r="X48" i="1"/>
  <c r="Y48" i="1"/>
  <c r="AB48" i="1"/>
  <c r="AC48" i="1"/>
  <c r="T49" i="1"/>
  <c r="U49" i="1"/>
  <c r="X49" i="1"/>
  <c r="Y49" i="1"/>
  <c r="AB49" i="1"/>
  <c r="AC49" i="1"/>
  <c r="T50" i="1"/>
  <c r="U50" i="1"/>
  <c r="X50" i="1"/>
  <c r="Y50" i="1"/>
  <c r="AB50" i="1"/>
  <c r="AC50" i="1"/>
  <c r="X51" i="1"/>
  <c r="Y51" i="1"/>
  <c r="T52" i="1"/>
  <c r="U52" i="1"/>
  <c r="X52" i="1"/>
  <c r="Y52" i="1"/>
  <c r="U53" i="1"/>
  <c r="Y53" i="1"/>
  <c r="AD3" i="1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I29" i="1" s="1"/>
  <c r="I35" i="1" s="1"/>
  <c r="I44" i="1" s="1"/>
  <c r="I52" i="1" s="1"/>
  <c r="H23" i="1"/>
  <c r="G23" i="1"/>
  <c r="G29" i="1" s="1"/>
  <c r="G35" i="1" s="1"/>
  <c r="G44" i="1" s="1"/>
  <c r="G52" i="1" s="1"/>
  <c r="G53" i="1" s="1"/>
  <c r="F23" i="1"/>
  <c r="E23" i="1"/>
  <c r="D23" i="1"/>
  <c r="D29" i="1" s="1"/>
  <c r="D35" i="1" s="1"/>
  <c r="D44" i="1" s="1"/>
  <c r="D52" i="1" s="1"/>
  <c r="D53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O11" i="1" l="1"/>
  <c r="O23" i="1"/>
  <c r="O29" i="1" s="1"/>
  <c r="O35" i="1" s="1"/>
  <c r="AB5" i="1"/>
  <c r="AC6" i="1"/>
  <c r="AC4" i="1"/>
  <c r="AB32" i="1"/>
  <c r="AC31" i="1"/>
  <c r="AC26" i="1"/>
  <c r="AC25" i="1"/>
  <c r="AC21" i="1"/>
  <c r="AC18" i="1"/>
  <c r="AA17" i="1"/>
  <c r="AC14" i="1"/>
  <c r="AC13" i="1"/>
  <c r="AB3" i="1"/>
  <c r="AA8" i="1"/>
  <c r="L29" i="1"/>
  <c r="L35" i="1" s="1"/>
  <c r="L44" i="1" s="1"/>
  <c r="L52" i="1" s="1"/>
  <c r="L53" i="1" s="1"/>
  <c r="F29" i="1"/>
  <c r="F35" i="1" s="1"/>
  <c r="F44" i="1" s="1"/>
  <c r="F52" i="1" s="1"/>
  <c r="F53" i="1" s="1"/>
  <c r="I53" i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O44" i="1" l="1"/>
  <c r="O52" i="1" s="1"/>
  <c r="O36" i="1"/>
  <c r="AA16" i="1"/>
  <c r="AC16" i="1" s="1"/>
  <c r="AA10" i="1"/>
  <c r="AB8" i="1"/>
  <c r="AC8" i="1"/>
  <c r="O53" i="1" l="1"/>
  <c r="AC10" i="1"/>
  <c r="AB10" i="1"/>
  <c r="AA11" i="1"/>
  <c r="AC11" i="1" s="1"/>
  <c r="AA23" i="1"/>
  <c r="AB23" i="1" l="1"/>
  <c r="AC23" i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11" i="12"/>
  <c r="U11" i="12"/>
  <c r="V7" i="12"/>
  <c r="U7" i="12"/>
  <c r="V5" i="12"/>
  <c r="U5" i="12"/>
  <c r="N58" i="12"/>
  <c r="M58" i="12"/>
  <c r="N21" i="12"/>
  <c r="M21" i="12"/>
  <c r="N11" i="12"/>
  <c r="M11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U4" i="12" l="1"/>
  <c r="V9" i="12"/>
  <c r="U9" i="12"/>
  <c r="V16" i="12"/>
  <c r="U16" i="12"/>
  <c r="V20" i="12"/>
  <c r="U20" i="12"/>
  <c r="U28" i="12"/>
  <c r="V28" i="12"/>
  <c r="U32" i="12"/>
  <c r="V32" i="12"/>
  <c r="V12" i="12"/>
  <c r="U1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27" i="12"/>
  <c r="U27" i="12"/>
  <c r="V31" i="12"/>
  <c r="U31" i="12"/>
  <c r="V15" i="12"/>
  <c r="U15" i="12"/>
  <c r="U38" i="12"/>
  <c r="V38" i="12"/>
  <c r="V45" i="12"/>
  <c r="U45" i="12"/>
  <c r="T62" i="12" l="1"/>
  <c r="S62" i="12"/>
  <c r="V62" i="12" l="1"/>
  <c r="U62" i="12"/>
  <c r="N52" i="12"/>
  <c r="M52" i="12"/>
  <c r="N56" i="12"/>
  <c r="M56" i="12"/>
  <c r="N50" i="12"/>
  <c r="M50" i="12"/>
  <c r="N7" i="12"/>
  <c r="M7" i="12"/>
  <c r="N5" i="12"/>
  <c r="M5" i="12"/>
  <c r="N35" i="12"/>
  <c r="M35" i="12"/>
  <c r="M46" i="12"/>
  <c r="N46" i="12"/>
  <c r="N42" i="12"/>
  <c r="M42" i="12"/>
  <c r="N40" i="12"/>
  <c r="M40" i="12"/>
  <c r="N39" i="12"/>
  <c r="M39" i="12"/>
  <c r="N51" i="12"/>
  <c r="M51" i="12"/>
  <c r="M4" i="12" l="1"/>
  <c r="N54" i="12"/>
  <c r="M54" i="12"/>
  <c r="M34" i="12"/>
  <c r="N34" i="12"/>
  <c r="N17" i="12"/>
  <c r="M17" i="12"/>
  <c r="N31" i="12"/>
  <c r="M31" i="12"/>
  <c r="N41" i="12"/>
  <c r="M41" i="12"/>
  <c r="N49" i="12"/>
  <c r="M49" i="12"/>
  <c r="N33" i="12"/>
  <c r="M33" i="12"/>
  <c r="N55" i="12"/>
  <c r="M55" i="12"/>
  <c r="N32" i="12"/>
  <c r="M32" i="12"/>
  <c r="N43" i="12"/>
  <c r="M43" i="12"/>
  <c r="N6" i="12"/>
  <c r="M6" i="12"/>
  <c r="M26" i="12"/>
  <c r="N26" i="12"/>
  <c r="N38" i="12"/>
  <c r="M38" i="12"/>
  <c r="N8" i="12"/>
  <c r="M8" i="12"/>
  <c r="N22" i="12"/>
  <c r="M22" i="12"/>
  <c r="N29" i="12"/>
  <c r="M29" i="12"/>
  <c r="M44" i="12"/>
  <c r="N44" i="12"/>
  <c r="N14" i="12"/>
  <c r="M14" i="12"/>
  <c r="M15" i="12"/>
  <c r="N15" i="12"/>
  <c r="N57" i="12"/>
  <c r="M57" i="12"/>
  <c r="N20" i="12"/>
  <c r="M20" i="12"/>
  <c r="M12" i="12"/>
  <c r="N12" i="12"/>
  <c r="N28" i="12"/>
  <c r="M28" i="12"/>
  <c r="M45" i="12"/>
  <c r="N45" i="12"/>
  <c r="N16" i="12"/>
  <c r="M16" i="12"/>
  <c r="N30" i="12"/>
  <c r="M30" i="12"/>
  <c r="N9" i="12"/>
  <c r="M9" i="12"/>
  <c r="N18" i="12"/>
  <c r="M18" i="12"/>
  <c r="N13" i="12"/>
  <c r="M13" i="12"/>
  <c r="M19" i="12"/>
  <c r="N19" i="12"/>
  <c r="M27" i="12"/>
  <c r="N27" i="12"/>
  <c r="M53" i="12"/>
  <c r="N53" i="12"/>
  <c r="AE15" i="1" l="1"/>
  <c r="AE19" i="1" l="1"/>
  <c r="AE16" i="1"/>
  <c r="AE23" i="1" l="1"/>
  <c r="S59" i="12" l="1"/>
  <c r="S23" i="12"/>
  <c r="N62" i="12" l="1"/>
  <c r="M62" i="12"/>
  <c r="S36" i="12"/>
  <c r="Q51" i="12" l="1"/>
  <c r="Q50" i="12"/>
  <c r="R51" i="12"/>
  <c r="R50" i="12"/>
  <c r="T47" i="12"/>
  <c r="Q52" i="12"/>
  <c r="Q49" i="12"/>
  <c r="R52" i="12"/>
  <c r="S47" i="12"/>
  <c r="V47" i="12" l="1"/>
  <c r="U47" i="12"/>
  <c r="T23" i="12" l="1"/>
  <c r="T36" i="12" l="1"/>
  <c r="V36" i="12" s="1"/>
  <c r="V23" i="12"/>
  <c r="U23" i="12"/>
  <c r="R54" i="12"/>
  <c r="R53" i="12"/>
  <c r="Q53" i="12"/>
  <c r="R57" i="12"/>
  <c r="Q57" i="12"/>
  <c r="Q55" i="12"/>
  <c r="R55" i="12"/>
  <c r="U36" i="12" l="1"/>
  <c r="M23" i="12" l="1"/>
  <c r="N23" i="12"/>
  <c r="R56" i="12"/>
  <c r="Q56" i="12"/>
  <c r="E19" i="12"/>
  <c r="F19" i="12"/>
  <c r="AE27" i="1" l="1"/>
  <c r="AA27" i="1" s="1"/>
  <c r="AD15" i="1"/>
  <c r="AC27" i="1" l="1"/>
  <c r="AB27" i="1"/>
  <c r="AA29" i="1"/>
  <c r="AD27" i="1"/>
  <c r="AB29" i="1" l="1"/>
  <c r="AC29" i="1"/>
  <c r="AA35" i="1"/>
  <c r="D59" i="12"/>
  <c r="D60" i="12" s="1"/>
  <c r="F56" i="12"/>
  <c r="D64" i="12" l="1"/>
  <c r="AA44" i="1"/>
  <c r="AA36" i="1"/>
  <c r="AC36" i="1" s="1"/>
  <c r="AB35" i="1"/>
  <c r="AC35" i="1"/>
  <c r="Q58" i="12"/>
  <c r="R58" i="12"/>
  <c r="G63" i="3"/>
  <c r="AA52" i="1" l="1"/>
  <c r="AB44" i="1"/>
  <c r="AC44" i="1"/>
  <c r="N36" i="12"/>
  <c r="M36" i="12"/>
  <c r="M47" i="12"/>
  <c r="N47" i="12"/>
  <c r="M59" i="12"/>
  <c r="N59" i="12"/>
  <c r="H63" i="3"/>
  <c r="AB52" i="1" l="1"/>
  <c r="AA53" i="1"/>
  <c r="AC53" i="1" s="1"/>
  <c r="AC52" i="1"/>
  <c r="N60" i="12"/>
  <c r="M60" i="12"/>
  <c r="S60" i="12"/>
  <c r="S64" i="12" l="1"/>
  <c r="Q14" i="1"/>
  <c r="P9" i="1" l="1"/>
  <c r="Q9" i="1"/>
  <c r="Q13" i="1"/>
  <c r="AD33" i="1" l="1"/>
  <c r="G61" i="3" l="1"/>
  <c r="H61" i="3"/>
  <c r="AF14" i="1"/>
  <c r="E4" i="12"/>
  <c r="F4" i="12"/>
  <c r="N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I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I33" i="12"/>
  <c r="F34" i="12"/>
  <c r="J34" i="12"/>
  <c r="E36" i="12"/>
  <c r="F36" i="12"/>
  <c r="E38" i="12"/>
  <c r="F38" i="12"/>
  <c r="E41" i="12"/>
  <c r="F41" i="12"/>
  <c r="J41" i="12"/>
  <c r="E43" i="12"/>
  <c r="F43" i="12"/>
  <c r="J43" i="12"/>
  <c r="E44" i="12"/>
  <c r="F44" i="12"/>
  <c r="I44" i="12"/>
  <c r="E45" i="12"/>
  <c r="F45" i="12"/>
  <c r="E47" i="12"/>
  <c r="F47" i="12"/>
  <c r="F49" i="12"/>
  <c r="J49" i="12"/>
  <c r="F50" i="12"/>
  <c r="J50" i="12"/>
  <c r="F52" i="12"/>
  <c r="J52" i="12"/>
  <c r="E54" i="12"/>
  <c r="F54" i="12"/>
  <c r="I54" i="12"/>
  <c r="E55" i="12"/>
  <c r="F55" i="12"/>
  <c r="E59" i="12"/>
  <c r="F59" i="12"/>
  <c r="E60" i="12"/>
  <c r="F60" i="12"/>
  <c r="E62" i="12"/>
  <c r="F62" i="12"/>
  <c r="I62" i="12"/>
  <c r="E64" i="12"/>
  <c r="F64" i="12"/>
  <c r="I67" i="12"/>
  <c r="J67" i="12"/>
  <c r="M67" i="12"/>
  <c r="N67" i="12"/>
  <c r="D68" i="12"/>
  <c r="F68" i="12" s="1"/>
  <c r="E68" i="12"/>
  <c r="I68" i="12"/>
  <c r="M68" i="12"/>
  <c r="N68" i="12"/>
  <c r="D69" i="12"/>
  <c r="F69" i="12" s="1"/>
  <c r="E69" i="12"/>
  <c r="I69" i="12"/>
  <c r="M69" i="12"/>
  <c r="N69" i="12"/>
  <c r="D70" i="12"/>
  <c r="F70" i="12" s="1"/>
  <c r="E70" i="12"/>
  <c r="I70" i="12"/>
  <c r="M70" i="12"/>
  <c r="N70" i="12"/>
  <c r="D71" i="12"/>
  <c r="F71" i="12" s="1"/>
  <c r="E71" i="12"/>
  <c r="I71" i="12"/>
  <c r="M71" i="12"/>
  <c r="N71" i="12"/>
  <c r="D72" i="12"/>
  <c r="F72" i="12" s="1"/>
  <c r="E72" i="12"/>
  <c r="I72" i="12"/>
  <c r="M72" i="12"/>
  <c r="N72" i="12"/>
  <c r="E73" i="12"/>
  <c r="I73" i="12"/>
  <c r="M73" i="12"/>
  <c r="N73" i="12"/>
  <c r="D74" i="12"/>
  <c r="F74" i="12" s="1"/>
  <c r="E74" i="12"/>
  <c r="J74" i="12"/>
  <c r="I74" i="12"/>
  <c r="M74" i="12"/>
  <c r="N74" i="12"/>
  <c r="E75" i="12"/>
  <c r="I75" i="12"/>
  <c r="M75" i="12"/>
  <c r="N75" i="12"/>
  <c r="M79" i="12"/>
  <c r="D87" i="12"/>
  <c r="E87" i="12" s="1"/>
  <c r="I41" i="12" l="1"/>
  <c r="D73" i="12"/>
  <c r="I43" i="12"/>
  <c r="J54" i="12"/>
  <c r="J62" i="12"/>
  <c r="J26" i="12"/>
  <c r="J44" i="12"/>
  <c r="J33" i="12"/>
  <c r="F73" i="12" l="1"/>
  <c r="D75" i="12"/>
  <c r="F75" i="12" s="1"/>
  <c r="G50" i="3" l="1"/>
  <c r="G41" i="3"/>
  <c r="G40" i="3"/>
  <c r="G38" i="3"/>
  <c r="G19" i="3"/>
  <c r="G10" i="3"/>
  <c r="G43" i="3" l="1"/>
  <c r="G52" i="3"/>
  <c r="G51" i="3"/>
  <c r="G49" i="3"/>
  <c r="G64" i="3"/>
  <c r="H51" i="3" l="1"/>
  <c r="H50" i="3"/>
  <c r="H19" i="3"/>
  <c r="H10" i="3"/>
  <c r="H41" i="3" l="1"/>
  <c r="H49" i="3"/>
  <c r="H38" i="3"/>
  <c r="H40" i="3"/>
  <c r="H43" i="3"/>
  <c r="AE33" i="1" l="1"/>
  <c r="AA33" i="1" s="1"/>
  <c r="AB33" i="1" l="1"/>
  <c r="AC33" i="1"/>
  <c r="P14" i="1"/>
  <c r="H52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4" i="3"/>
  <c r="G32" i="3"/>
  <c r="G36" i="3"/>
  <c r="G45" i="3"/>
  <c r="G31" i="3"/>
  <c r="G48" i="3"/>
  <c r="G33" i="3"/>
  <c r="G37" i="3"/>
  <c r="G46" i="3"/>
  <c r="G35" i="3"/>
  <c r="G30" i="3"/>
  <c r="G34" i="3"/>
  <c r="G39" i="3"/>
  <c r="G47" i="3"/>
  <c r="H21" i="3"/>
  <c r="H18" i="3"/>
  <c r="H22" i="3"/>
  <c r="H20" i="3"/>
  <c r="H24" i="3"/>
  <c r="H31" i="3"/>
  <c r="H35" i="3"/>
  <c r="G56" i="3"/>
  <c r="H25" i="3"/>
  <c r="H32" i="3"/>
  <c r="H36" i="3"/>
  <c r="H47" i="3"/>
  <c r="H44" i="3"/>
  <c r="H48" i="3"/>
  <c r="H45" i="3"/>
  <c r="H46" i="3"/>
  <c r="H30" i="3"/>
  <c r="H34" i="3"/>
  <c r="H39" i="3"/>
  <c r="H33" i="3"/>
  <c r="H37" i="3"/>
  <c r="H9" i="3"/>
  <c r="H13" i="3"/>
  <c r="H11" i="3"/>
  <c r="H14" i="3"/>
  <c r="H7" i="3"/>
  <c r="H12" i="3"/>
  <c r="H8" i="3"/>
  <c r="H6" i="3"/>
  <c r="G6" i="3"/>
  <c r="R4" i="12"/>
  <c r="Q4" i="12"/>
  <c r="Q42" i="1" l="1"/>
  <c r="Q3" i="1" l="1"/>
  <c r="P10" i="1"/>
  <c r="Q32" i="1"/>
  <c r="P32" i="1"/>
  <c r="Q41" i="1"/>
  <c r="P41" i="1"/>
  <c r="Q18" i="1"/>
  <c r="P18" i="1"/>
  <c r="Q50" i="1"/>
  <c r="P50" i="1"/>
  <c r="Q21" i="1"/>
  <c r="P21" i="1"/>
  <c r="P45" i="1"/>
  <c r="Q45" i="1"/>
  <c r="P3" i="1"/>
  <c r="Q38" i="1"/>
  <c r="P38" i="1"/>
  <c r="Q46" i="1"/>
  <c r="P46" i="1"/>
  <c r="P13" i="1"/>
  <c r="Q39" i="1"/>
  <c r="P39" i="1"/>
  <c r="Q47" i="1"/>
  <c r="P47" i="1"/>
  <c r="Q40" i="1"/>
  <c r="P40" i="1"/>
  <c r="Q6" i="1"/>
  <c r="P6" i="1"/>
  <c r="Q8" i="1"/>
  <c r="P8" i="1"/>
  <c r="Q43" i="1"/>
  <c r="P43" i="1"/>
  <c r="P5" i="1"/>
  <c r="Q5" i="1"/>
  <c r="Q26" i="1"/>
  <c r="P26" i="1"/>
  <c r="Q48" i="1"/>
  <c r="Q25" i="1"/>
  <c r="P25" i="1"/>
  <c r="P49" i="1"/>
  <c r="Q49" i="1"/>
  <c r="Q33" i="1" l="1"/>
  <c r="Q4" i="1"/>
  <c r="P4" i="1"/>
  <c r="Q10" i="1"/>
  <c r="P33" i="1"/>
  <c r="Q27" i="1" l="1"/>
  <c r="P27" i="1"/>
  <c r="AF32" i="1" l="1"/>
  <c r="AF31" i="1"/>
  <c r="AF26" i="1" l="1"/>
  <c r="AF25" i="1"/>
  <c r="AF21" i="1"/>
  <c r="AF18" i="1"/>
  <c r="AF13" i="1"/>
  <c r="AF27" i="1" l="1"/>
  <c r="Q19" i="1" l="1"/>
  <c r="Q11" i="1" l="1"/>
  <c r="R34" i="12" l="1"/>
  <c r="Q44" i="12"/>
  <c r="R44" i="12"/>
  <c r="R43" i="12"/>
  <c r="Q43" i="12"/>
  <c r="R49" i="12" l="1"/>
  <c r="R8" i="12"/>
  <c r="Q8" i="12"/>
  <c r="R31" i="12"/>
  <c r="Q31" i="12"/>
  <c r="R20" i="12"/>
  <c r="Q20" i="12"/>
  <c r="R38" i="12"/>
  <c r="Q38" i="12"/>
  <c r="R30" i="12"/>
  <c r="Q30" i="12"/>
  <c r="R14" i="12"/>
  <c r="Q14" i="12"/>
  <c r="R26" i="12"/>
  <c r="Q26" i="12"/>
  <c r="R13" i="12"/>
  <c r="Q13" i="12"/>
  <c r="Q29" i="12"/>
  <c r="R29" i="12"/>
  <c r="Q28" i="12"/>
  <c r="R28" i="12"/>
  <c r="Q27" i="12"/>
  <c r="R27" i="12"/>
  <c r="R41" i="12"/>
  <c r="Q41" i="12"/>
  <c r="R45" i="12"/>
  <c r="Q45" i="12"/>
  <c r="Q9" i="12"/>
  <c r="R9" i="12"/>
  <c r="R22" i="12" l="1"/>
  <c r="Q22" i="12"/>
  <c r="Q54" i="12"/>
  <c r="R18" i="12"/>
  <c r="Q18" i="12"/>
  <c r="Q33" i="12"/>
  <c r="R33" i="12"/>
  <c r="Q15" i="12"/>
  <c r="R15" i="12"/>
  <c r="R6" i="12"/>
  <c r="Q6" i="12"/>
  <c r="Q17" i="12"/>
  <c r="R17" i="12"/>
  <c r="R32" i="12"/>
  <c r="Q32" i="12"/>
  <c r="Q59" i="12" l="1"/>
  <c r="R59" i="12"/>
  <c r="H53" i="3" l="1"/>
  <c r="H17" i="3"/>
  <c r="G24" i="3"/>
  <c r="G25" i="3"/>
  <c r="G55" i="3"/>
  <c r="H55" i="3"/>
  <c r="G57" i="3"/>
  <c r="H57" i="3"/>
  <c r="G58" i="3"/>
  <c r="H58" i="3"/>
  <c r="G59" i="3"/>
  <c r="H59" i="3"/>
  <c r="U74" i="12"/>
  <c r="V67" i="12"/>
  <c r="U67" i="12"/>
  <c r="R67" i="12"/>
  <c r="Q67" i="12"/>
  <c r="U71" i="12"/>
  <c r="Q74" i="12"/>
  <c r="U68" i="12"/>
  <c r="U72" i="12"/>
  <c r="Q72" i="12"/>
  <c r="Q68" i="12"/>
  <c r="Q70" i="12"/>
  <c r="U70" i="12"/>
  <c r="Q69" i="12"/>
  <c r="U69" i="12"/>
  <c r="Q71" i="12"/>
  <c r="U75" i="12"/>
  <c r="U73" i="12"/>
  <c r="Q75" i="12"/>
  <c r="Q73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G18" i="1"/>
  <c r="AG31" i="1"/>
  <c r="AG32" i="1"/>
  <c r="AG13" i="1"/>
  <c r="AG26" i="1"/>
  <c r="AG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3" i="3"/>
  <c r="C22" i="18"/>
  <c r="C33" i="18" s="1"/>
  <c r="C39" i="18" s="1"/>
  <c r="C65" i="18" s="1"/>
  <c r="C69" i="18" s="1"/>
  <c r="G63" i="18"/>
  <c r="AG27" i="1"/>
  <c r="AG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0" i="3"/>
  <c r="H60" i="3"/>
  <c r="K258" i="14" l="1"/>
  <c r="K252" i="14"/>
  <c r="G65" i="18"/>
  <c r="G69" i="18" s="1"/>
  <c r="I14" i="16"/>
  <c r="H20" i="16"/>
  <c r="J14" i="16"/>
  <c r="F20" i="16"/>
  <c r="G26" i="3"/>
  <c r="H26" i="3"/>
  <c r="G72" i="18"/>
  <c r="H64" i="3"/>
  <c r="K259" i="14" l="1"/>
  <c r="K267" i="14"/>
  <c r="R47" i="12"/>
  <c r="Q47" i="12"/>
  <c r="G66" i="3"/>
  <c r="H66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R74" i="12" l="1"/>
  <c r="Q23" i="12" l="1"/>
  <c r="R23" i="12"/>
  <c r="T74" i="12" l="1"/>
  <c r="V74" i="12" l="1"/>
  <c r="AG41" i="1" l="1"/>
  <c r="AF41" i="1"/>
  <c r="AF33" i="1" l="1"/>
  <c r="AG33" i="1"/>
  <c r="AE11" i="1" l="1"/>
  <c r="I18" i="12" l="1"/>
  <c r="J18" i="12"/>
  <c r="J30" i="12"/>
  <c r="I30" i="12"/>
  <c r="I31" i="12"/>
  <c r="J31" i="12"/>
  <c r="I38" i="12" l="1"/>
  <c r="J38" i="12"/>
  <c r="T59" i="12" l="1"/>
  <c r="T72" i="12"/>
  <c r="U59" i="12" l="1"/>
  <c r="V59" i="12"/>
  <c r="J72" i="12"/>
  <c r="I55" i="12"/>
  <c r="J55" i="12"/>
  <c r="R72" i="12"/>
  <c r="V72" i="12"/>
  <c r="I59" i="12" l="1"/>
  <c r="J59" i="12"/>
  <c r="I20" i="12" l="1"/>
  <c r="J20" i="12"/>
  <c r="J6" i="12" l="1"/>
  <c r="I6" i="12"/>
  <c r="I17" i="12" l="1"/>
  <c r="J17" i="12"/>
  <c r="T71" i="12" l="1"/>
  <c r="I15" i="12"/>
  <c r="J15" i="12"/>
  <c r="I13" i="12"/>
  <c r="J13" i="12"/>
  <c r="I87" i="12"/>
  <c r="I45" i="12"/>
  <c r="J45" i="12"/>
  <c r="J71" i="12"/>
  <c r="I32" i="12"/>
  <c r="J32" i="12"/>
  <c r="I22" i="12"/>
  <c r="J22" i="12"/>
  <c r="J47" i="12" l="1"/>
  <c r="I47" i="12"/>
  <c r="T69" i="12"/>
  <c r="V71" i="12"/>
  <c r="R71" i="12"/>
  <c r="I29" i="12"/>
  <c r="J29" i="12"/>
  <c r="I14" i="12"/>
  <c r="J14" i="12"/>
  <c r="R69" i="12" l="1"/>
  <c r="V69" i="12"/>
  <c r="T70" i="12"/>
  <c r="J8" i="12"/>
  <c r="I8" i="12"/>
  <c r="R70" i="12" l="1"/>
  <c r="V70" i="12"/>
  <c r="J70" i="12"/>
  <c r="I27" i="12"/>
  <c r="J27" i="12"/>
  <c r="I28" i="12"/>
  <c r="J28" i="12"/>
  <c r="I9" i="12"/>
  <c r="J9" i="12"/>
  <c r="J69" i="12"/>
  <c r="T68" i="12" l="1"/>
  <c r="V4" i="12"/>
  <c r="V68" i="12" l="1"/>
  <c r="R68" i="12"/>
  <c r="T73" i="12"/>
  <c r="J4" i="12"/>
  <c r="I4" i="12"/>
  <c r="J23" i="12" l="1"/>
  <c r="I23" i="12"/>
  <c r="V73" i="12"/>
  <c r="T75" i="12"/>
  <c r="V75" i="12" s="1"/>
  <c r="J68" i="12"/>
  <c r="T60" i="12"/>
  <c r="V60" i="12" l="1"/>
  <c r="U60" i="12"/>
  <c r="T64" i="12"/>
  <c r="Q36" i="12"/>
  <c r="R36" i="12"/>
  <c r="J73" i="12"/>
  <c r="J75" i="12"/>
  <c r="R75" i="12"/>
  <c r="R73" i="12"/>
  <c r="I36" i="12"/>
  <c r="J36" i="12"/>
  <c r="U64" i="12" l="1"/>
  <c r="V64" i="12"/>
  <c r="R60" i="12"/>
  <c r="Q60" i="12"/>
  <c r="I60" i="12"/>
  <c r="J60" i="12"/>
  <c r="I64" i="12" l="1"/>
  <c r="J64" i="12"/>
  <c r="R62" i="12" l="1"/>
  <c r="N64" i="12"/>
  <c r="M64" i="12"/>
  <c r="Q64" i="12" l="1"/>
  <c r="Q62" i="12"/>
  <c r="Q31" i="1"/>
  <c r="Q53" i="1"/>
  <c r="Q36" i="1"/>
  <c r="Q16" i="1"/>
  <c r="Q15" i="1"/>
  <c r="Q29" i="1"/>
  <c r="P29" i="1"/>
  <c r="Q35" i="1"/>
  <c r="P35" i="1"/>
  <c r="Q52" i="1"/>
  <c r="P52" i="1"/>
  <c r="Q23" i="1"/>
  <c r="P23" i="1"/>
  <c r="P44" i="1"/>
  <c r="Q44" i="1"/>
  <c r="R64" i="12" l="1"/>
  <c r="AE29" i="1"/>
  <c r="AE35" i="1" l="1"/>
  <c r="AE36" i="1" l="1"/>
  <c r="AF51" i="1"/>
  <c r="AG47" i="1"/>
  <c r="AG49" i="1"/>
  <c r="AG48" i="1"/>
  <c r="AG51" i="1" l="1"/>
  <c r="AF49" i="1"/>
  <c r="AF47" i="1"/>
  <c r="AF48" i="1"/>
  <c r="AF43" i="1" l="1"/>
  <c r="AG43" i="1"/>
  <c r="AG42" i="1" l="1"/>
  <c r="AF42" i="1"/>
  <c r="AG40" i="1" l="1"/>
  <c r="AF40" i="1"/>
  <c r="AF39" i="1" l="1"/>
  <c r="AG39" i="1"/>
  <c r="AF38" i="1" l="1"/>
  <c r="AG38" i="1"/>
  <c r="AE44" i="1"/>
  <c r="AG45" i="1" l="1"/>
  <c r="AF45" i="1"/>
  <c r="AG46" i="1" l="1"/>
  <c r="AF46" i="1"/>
  <c r="AG50" i="1" l="1"/>
  <c r="AF50" i="1"/>
  <c r="AE52" i="1"/>
  <c r="AE53" i="1" l="1"/>
  <c r="AF3" i="1" l="1"/>
  <c r="AG3" i="1"/>
  <c r="AG6" i="1" l="1"/>
  <c r="AF6" i="1"/>
  <c r="AF5" i="1"/>
  <c r="AG5" i="1"/>
  <c r="AG4" i="1"/>
  <c r="AF4" i="1" l="1"/>
  <c r="AD16" i="1" l="1"/>
  <c r="AG16" i="1" s="1"/>
  <c r="AD19" i="1"/>
  <c r="AG19" i="1" s="1"/>
  <c r="AF8" i="1"/>
  <c r="AG8" i="1"/>
  <c r="AF10" i="1" l="1"/>
  <c r="AG10" i="1"/>
  <c r="AD11" i="1"/>
  <c r="AG11" i="1" s="1"/>
  <c r="AD29" i="1"/>
  <c r="AF23" i="1" l="1"/>
  <c r="AG23" i="1"/>
  <c r="AG29" i="1"/>
  <c r="AD35" i="1"/>
  <c r="AF29" i="1"/>
  <c r="AD36" i="1" l="1"/>
  <c r="AG36" i="1" s="1"/>
  <c r="AF35" i="1"/>
  <c r="AD44" i="1"/>
  <c r="AG35" i="1"/>
  <c r="AG44" i="1" l="1"/>
  <c r="AD52" i="1"/>
  <c r="AF44" i="1"/>
  <c r="AD53" i="1" l="1"/>
  <c r="AG53" i="1" s="1"/>
  <c r="AF52" i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danielapires</author>
  </authors>
  <commentList>
    <comment ref="K7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O7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P7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</commentList>
</comments>
</file>

<file path=xl/sharedStrings.xml><?xml version="1.0" encoding="utf-8"?>
<sst xmlns="http://schemas.openxmlformats.org/spreadsheetml/2006/main" count="782" uniqueCount="505">
  <si>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</si>
  <si>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</si>
  <si>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</si>
  <si>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</si>
  <si>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</si>
  <si>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</si>
  <si>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</si>
  <si>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</si>
  <si>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</si>
  <si>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</si>
  <si>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</si>
  <si>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</si>
  <si>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</si>
  <si>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</si>
  <si>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</si>
  <si>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</si>
  <si>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</si>
  <si>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</si>
  <si>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</si>
  <si>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</si>
  <si>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</si>
  <si>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</si>
  <si>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</si>
  <si>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</si>
  <si>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</si>
  <si>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</si>
  <si>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</si>
  <si>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</si>
  <si>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</si>
  <si>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</si>
  <si>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</si>
  <si>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</si>
  <si>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</si>
  <si>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</si>
  <si>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</si>
  <si>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</si>
  <si>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</si>
  <si>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</si>
  <si>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</si>
  <si>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</si>
  <si>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</si>
  <si>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</si>
  <si>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</si>
  <si>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</si>
  <si>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</si>
  <si>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</si>
  <si>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</si>
  <si>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</si>
  <si>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</si>
  <si>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</si>
  <si>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</si>
  <si>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</si>
  <si>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</si>
  <si>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</si>
  <si>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</si>
  <si>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</si>
  <si>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</si>
  <si>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</si>
  <si>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</si>
  <si>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</si>
  <si>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</si>
  <si>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</si>
  <si>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</si>
  <si>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</si>
  <si>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</si>
  <si>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</si>
  <si>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</si>
  <si>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</si>
  <si>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</si>
  <si>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</si>
  <si>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</si>
  <si>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</si>
  <si>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</si>
  <si>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</si>
  <si>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</si>
  <si>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</si>
  <si>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</si>
  <si>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</si>
  <si>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</si>
  <si>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</si>
  <si>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</si>
  <si>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</si>
  <si>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</si>
  <si>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</si>
  <si>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</si>
  <si>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</si>
  <si>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</si>
  <si>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</si>
  <si>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</si>
  <si>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</si>
  <si>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</si>
  <si>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</si>
  <si>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</si>
  <si>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</si>
  <si>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</si>
  <si>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</si>
  <si>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</si>
  <si>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</si>
  <si>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</si>
  <si>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</si>
  <si>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</si>
  <si>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</si>
  <si>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</si>
  <si>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</si>
  <si>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</si>
  <si>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</si>
  <si>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</si>
  <si>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</si>
  <si>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</si>
  <si>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</si>
  <si>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</si>
  <si>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</si>
  <si>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</si>
  <si>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</si>
  <si>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</si>
  <si>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</si>
  <si>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</si>
  <si>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</si>
  <si>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</si>
  <si>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</si>
  <si>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</si>
  <si>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</si>
  <si>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</si>
  <si>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</si>
  <si>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</si>
  <si>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</si>
  <si>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</si>
  <si>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</si>
  <si>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</si>
  <si>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</si>
  <si>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</si>
  <si>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</si>
  <si>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</si>
  <si>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</si>
  <si>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</si>
  <si>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</si>
  <si>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</si>
  <si>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</si>
  <si>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</si>
  <si>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</si>
  <si>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</si>
  <si>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</si>
  <si>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</si>
  <si>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</si>
  <si>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</si>
  <si>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</si>
  <si>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</si>
  <si>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</si>
  <si>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</si>
  <si>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</si>
  <si>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</si>
  <si>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</si>
  <si>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</si>
  <si>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</si>
  <si>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</si>
  <si>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</si>
  <si>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</si>
  <si>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</si>
  <si>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</si>
  <si>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</si>
  <si>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</si>
  <si>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</si>
  <si>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</si>
  <si>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</si>
  <si>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</si>
  <si>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</si>
  <si>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</si>
  <si>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</si>
  <si>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</si>
  <si>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</si>
  <si>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</si>
  <si>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</si>
  <si>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</si>
  <si>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</si>
  <si>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</si>
  <si>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</si>
  <si>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</si>
  <si>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</si>
  <si>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</si>
  <si>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</si>
  <si>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</si>
  <si>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</si>
  <si>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</si>
  <si>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</si>
  <si>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</si>
  <si>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</si>
  <si>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</si>
  <si>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</si>
  <si>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</si>
  <si>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</si>
  <si>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</si>
  <si>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</si>
  <si>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</si>
  <si>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</si>
  <si>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</si>
  <si>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</si>
  <si>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</si>
  <si>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</si>
  <si>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</si>
  <si>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</si>
  <si>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</si>
  <si>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</si>
  <si>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</si>
  <si>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</si>
  <si>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</si>
  <si>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</si>
  <si>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</si>
  <si>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</si>
  <si>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</si>
  <si>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</si>
  <si>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</si>
  <si>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</si>
  <si>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</si>
  <si>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</si>
  <si>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</si>
  <si>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</si>
  <si>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</si>
  <si>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</si>
  <si>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</si>
  <si>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</si>
  <si>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</si>
  <si>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</si>
  <si>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</si>
  <si>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</si>
  <si>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</si>
  <si>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</si>
  <si>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</si>
  <si>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</si>
  <si>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</si>
  <si>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</si>
  <si>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</si>
  <si>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</si>
  <si>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</si>
  <si>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</si>
  <si>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</si>
  <si>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</si>
  <si>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</si>
  <si>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</si>
  <si>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</si>
  <si>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</si>
  <si>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</si>
  <si>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</si>
  <si>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</si>
  <si>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</si>
  <si>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</si>
  <si>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</si>
  <si>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</si>
  <si>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</si>
  <si>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</si>
  <si>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</si>
  <si>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</si>
  <si>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</si>
  <si>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</si>
  <si>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</si>
  <si>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</si>
  <si>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</si>
  <si>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</si>
  <si>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</si>
  <si>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</si>
  <si>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</si>
  <si>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</si>
  <si>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</si>
  <si>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</si>
  <si>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</si>
  <si>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</si>
  <si>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</si>
  <si>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</si>
  <si>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</si>
  <si>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</si>
  <si>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</si>
  <si>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</si>
  <si>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</si>
  <si>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</si>
  <si>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</si>
  <si>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</si>
  <si>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</si>
  <si>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</si>
  <si>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</si>
  <si>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</si>
  <si>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</si>
  <si>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</si>
  <si>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</si>
  <si>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</si>
  <si>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</si>
  <si>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</si>
  <si>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</si>
  <si>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</si>
  <si>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</si>
  <si>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</si>
  <si>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</si>
  <si>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</si>
  <si>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</si>
  <si>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</si>
  <si>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</si>
  <si>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</si>
  <si>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</si>
  <si>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</si>
  <si>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</si>
  <si>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</si>
  <si>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</si>
  <si>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</si>
  <si>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</si>
  <si>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</si>
  <si>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</si>
  <si>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</si>
  <si>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</si>
  <si>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</si>
  <si>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</si>
  <si>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</si>
  <si>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</si>
  <si>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</si>
  <si>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</si>
  <si>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</si>
  <si>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</si>
  <si>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</si>
  <si>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</si>
  <si>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</si>
  <si>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</si>
  <si>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</si>
  <si>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</si>
  <si>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</si>
  <si>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</si>
  <si>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</si>
  <si>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</si>
  <si>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</si>
  <si>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</si>
  <si>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</si>
  <si>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</si>
  <si>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</si>
  <si>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</si>
  <si>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</si>
  <si>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</si>
  <si>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</si>
  <si>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</si>
  <si>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</si>
  <si>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</si>
  <si>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</si>
  <si>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</si>
  <si>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</si>
  <si>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</si>
  <si>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</si>
  <si>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</si>
  <si>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</si>
  <si>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</si>
  <si>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</si>
  <si>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</si>
  <si>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</si>
  <si>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</si>
  <si>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</si>
  <si>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</si>
  <si>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</si>
  <si>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</si>
  <si>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</si>
  <si>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</si>
  <si>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</si>
  <si>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</si>
  <si>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</si>
  <si>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</si>
  <si>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</si>
  <si>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</si>
  <si>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</si>
  <si>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</si>
  <si>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</si>
  <si>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</si>
  <si>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</si>
  <si>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</si>
  <si>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</si>
  <si>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</si>
  <si>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</si>
  <si>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</si>
  <si>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</si>
  <si>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</si>
  <si>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</si>
  <si>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</si>
  <si>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</si>
  <si>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</si>
  <si>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</si>
  <si>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</si>
  <si>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</si>
  <si>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</si>
  <si>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</si>
  <si>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</si>
  <si>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</si>
  <si>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</si>
  <si>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</si>
  <si>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</si>
  <si>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</si>
  <si>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</si>
  <si>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</si>
  <si>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</si>
  <si>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</si>
  <si>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</si>
  <si>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</si>
  <si>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</si>
  <si>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</si>
  <si>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</si>
  <si>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</si>
  <si>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</si>
  <si>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</si>
  <si>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</si>
  <si>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</si>
  <si>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</si>
  <si>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</si>
  <si>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</si>
  <si>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</si>
  <si>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</si>
  <si>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</si>
  <si>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</si>
  <si>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</si>
  <si>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</si>
  <si>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</si>
  <si>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</si>
  <si>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</si>
  <si>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</si>
  <si>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</si>
  <si>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</si>
  <si>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</si>
  <si>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</si>
  <si>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</si>
  <si>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</si>
  <si>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</si>
  <si>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</si>
  <si>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</si>
  <si>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</si>
  <si>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</si>
  <si>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</si>
  <si>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</si>
  <si>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</si>
  <si>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</si>
  <si>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</si>
  <si>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</si>
  <si>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</si>
  <si>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</si>
  <si>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</si>
  <si>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</si>
  <si>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</si>
  <si>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</si>
  <si>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</si>
  <si>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</si>
  <si>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</si>
  <si>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</si>
  <si>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</si>
  <si>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</si>
  <si>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</si>
  <si>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</si>
  <si>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</si>
  <si>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</si>
  <si>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</si>
  <si>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</si>
  <si>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</si>
  <si>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</si>
  <si>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</si>
  <si>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</si>
  <si>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</si>
  <si>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</si>
  <si>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</si>
  <si>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Prejuízo no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</si>
  <si>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</si>
  <si>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</si>
  <si>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</si>
  <si>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1T21</t>
  </si>
  <si>
    <t>2T21</t>
  </si>
  <si>
    <t>3T21</t>
  </si>
  <si>
    <t>4T21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</si>
  <si>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</si>
  <si>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</si>
  <si>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</si>
  <si>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</si>
  <si>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</si>
  <si>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</si>
  <si>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</si>
  <si>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4T22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</si>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</sst>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00"/>
    <numFmt numFmtId="169" formatCode="_(* #,##0_);_(* \(#,##0\);_(* &quot;-&quot;??_);_(@_)"/>
    <numFmt numFmtId="170" formatCode="#,##0.0_);\(#,##0.0\);\-\ \ \ \ \ "/>
    <numFmt numFmtId="171" formatCode="0.0000&quot;  &quot;"/>
    <numFmt numFmtId="172" formatCode="0.00000&quot;  &quot;"/>
    <numFmt numFmtId="173" formatCode="m/d/yy\ hh:mm"/>
    <numFmt numFmtId="174" formatCode="_(* #,##0_);_(* \(#,##0\);_(* &quot;-&quot;???_);_(@_)"/>
    <numFmt numFmtId="175" formatCode="#,##0\ &quot;FB&quot;;[Red]\-#,##0\ &quot;FB&quot;"/>
    <numFmt numFmtId="176" formatCode="_(* #,##0.0000_);_(* \(#,##0.0000\);_(* &quot;-&quot;????_);_(@_)"/>
    <numFmt numFmtId="177" formatCode="_-* #,##0\ _E_s_c_._-;\-* #,##0\ _E_s_c_._-;_-* &quot;-&quot;\ _E_s_c_._-;_-@_-"/>
    <numFmt numFmtId="178" formatCode="&quot;$&quot;#,##0.00000000_);[Red]\(&quot;$&quot;#,##0.00000000\)"/>
    <numFmt numFmtId="179" formatCode="_(&quot;$&quot;* #,##0_);_(&quot;$&quot;* \(#,##0\);_(&quot;$&quot;* &quot;-&quot;_);_(@_)"/>
    <numFmt numFmtId="180" formatCode="_-[$€-2]\ * #,##0.00_-;\-[$€-2]\ * #,##0.00_-;_-[$€-2]\ * &quot;-&quot;??_-"/>
    <numFmt numFmtId="181" formatCode="_(* #,##0_);_(* \(#,##0\);_(* &quot;-&quot;_);_(@_)"/>
    <numFmt numFmtId="182" formatCode="#,##0;[Red]#,##0&quot;-&quot;"/>
    <numFmt numFmtId="183" formatCode="#,##0.00;[Red]#,##0.00&quot;-&quot;"/>
    <numFmt numFmtId="184" formatCode="#,###,;\-#,###,"/>
    <numFmt numFmtId="185" formatCode="#,##0;\-#,##0;&quot;---&quot;"/>
    <numFmt numFmtId="186" formatCode="_ * #,##0_ ;_ * \-#,##0_ ;_ * &quot;-&quot;_ ;_ @_ "/>
    <numFmt numFmtId="187" formatCode="_ * #,##0.00_ ;_ * \-#,##0.00_ ;_ * &quot;-&quot;??_ ;_ @_ "/>
    <numFmt numFmtId="188" formatCode="_-* #,##0\ _F_-;\-* #,##0\ _F_-;_-* &quot;-&quot;\ _F_-;_-@_-"/>
    <numFmt numFmtId="189" formatCode="_(&quot;R$ &quot;* #,##0.00_);_(&quot;R$ &quot;* \(#,##0.00\);_(&quot;R$ &quot;* &quot;-&quot;??_);_(@_)"/>
    <numFmt numFmtId="190" formatCode="_ &quot;S/&quot;* #,##0_ ;_ &quot;S/&quot;* \-#,##0_ ;_ &quot;S/&quot;* &quot;-&quot;_ ;_ @_ "/>
    <numFmt numFmtId="191" formatCode="_ &quot;S/&quot;* #,##0.00_ ;_ &quot;S/&quot;* \-#,##0.00_ ;_ &quot;S/&quot;* &quot;-&quot;??_ ;_ @_ "/>
    <numFmt numFmtId="192" formatCode="&quot;  -  &quot;0&quot;  -  &quot;;&quot;  -  &quot;@&quot;  -  &quot;"/>
    <numFmt numFmtId="193" formatCode="_(* #,##0.0_);_(* \(#,##0.0\);_(* &quot;-&quot;????_);_(@_)"/>
    <numFmt numFmtId="194" formatCode="##0.00%;\(##0.00\)%"/>
    <numFmt numFmtId="195" formatCode="_(&quot;$&quot;\ * #,##0_);_(&quot;$&quot;\ * \(#,##0\);_(&quot;$&quot;\ * &quot;-&quot;_);_(@_)"/>
    <numFmt numFmtId="196" formatCode="&quot;$&quot;#,##0_);\(&quot;$&quot;#,##0\)"/>
    <numFmt numFmtId="197" formatCode="_(* #,##0_%\);_(* \(#,##0\);_(* &quot;-&quot;_);_(@_)"/>
    <numFmt numFmtId="198" formatCode="_(* #,##0.000_);_(* \(#,##0.000\);_(* &quot;-&quot;????_);_(@_)"/>
    <numFmt numFmtId="199" formatCode="_(* #,##0.00_);_(* \(#,##0.00\);_(* &quot;-&quot;????_);_(@_)"/>
    <numFmt numFmtId="200" formatCode="&quot;f.&quot;\ #,##0_-;[Red]&quot;f.&quot;\ #,##0\-"/>
    <numFmt numFmtId="201" formatCode="&quot;f.&quot;\ #,##0.00_-;[Red]&quot;f.&quot;\ #,##0.00\-"/>
    <numFmt numFmtId="202" formatCode="&quot;$&quot;#,##0_);[Red]\(&quot;$&quot;#,##0\)"/>
    <numFmt numFmtId="203" formatCode="&quot;$&quot;#,##0.00_);[Red]\(&quot;$&quot;#,##0.00\)"/>
    <numFmt numFmtId="204" formatCode="#,##0_);\(#,##0\);\-"/>
    <numFmt numFmtId="205" formatCode="#,##0.0_);\(#,##0.0\);\-"/>
    <numFmt numFmtId="206" formatCode="_(&quot;$&quot;\ * #,##0.00_);_(&quot;$&quot;\ * \(#,##0.00\);_(&quot;$&quot;\ * &quot;-&quot;??_);_(@_)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4" fillId="0" borderId="0" applyFont="0" applyAlignment="0">
      <alignment horizontal="center"/>
    </xf>
    <xf numFmtId="170" fontId="15" fillId="0" borderId="0" applyFont="0" applyFill="0" applyBorder="0" applyAlignment="0" applyProtection="0"/>
    <xf numFmtId="170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7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81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horizontal="center"/>
    </xf>
    <xf numFmtId="184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6" fillId="0" borderId="0"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95" fontId="9" fillId="0" borderId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NumberFormat="0" applyFont="0" applyBorder="0"/>
    <xf numFmtId="196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7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8" fontId="1" fillId="0" borderId="0" applyFill="0" applyBorder="0" applyAlignment="0"/>
    <xf numFmtId="198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4" fontId="36" fillId="0" borderId="0">
      <alignment horizontal="center"/>
    </xf>
    <xf numFmtId="204" fontId="36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>
      <alignment horizontal="center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5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500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68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67" fontId="5" fillId="3" borderId="5" xfId="2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13" xfId="1" applyNumberFormat="1" applyFont="1" applyFill="1" applyBorder="1" applyAlignment="1">
      <alignment horizontal="right"/>
    </xf>
    <xf numFmtId="167" fontId="6" fillId="3" borderId="5" xfId="2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6" fontId="4" fillId="5" borderId="5" xfId="1" applyNumberFormat="1" applyFont="1" applyFill="1" applyBorder="1" applyAlignment="1">
      <alignment horizontal="right"/>
    </xf>
    <xf numFmtId="165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6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5" xfId="0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3" fillId="3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6" fontId="2" fillId="2" borderId="5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166" fontId="2" fillId="2" borderId="10" xfId="1" applyNumberFormat="1" applyFont="1" applyFill="1" applyBorder="1" applyAlignment="1">
      <alignment horizontal="right"/>
    </xf>
    <xf numFmtId="0" fontId="3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/>
    <xf numFmtId="3" fontId="3" fillId="7" borderId="0" xfId="0" applyNumberFormat="1" applyFont="1" applyFill="1" applyAlignment="1"/>
    <xf numFmtId="3" fontId="3" fillId="3" borderId="0" xfId="0" applyNumberFormat="1" applyFont="1" applyFill="1"/>
    <xf numFmtId="0" fontId="3" fillId="7" borderId="0" xfId="0" applyFont="1" applyFill="1"/>
    <xf numFmtId="167" fontId="3" fillId="3" borderId="0" xfId="2" applyNumberFormat="1" applyFont="1" applyFill="1"/>
    <xf numFmtId="168" fontId="3" fillId="6" borderId="5" xfId="0" applyNumberFormat="1" applyFont="1" applyFill="1" applyBorder="1"/>
    <xf numFmtId="167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6" fontId="8" fillId="3" borderId="0" xfId="1" applyNumberFormat="1" applyFont="1" applyFill="1"/>
    <xf numFmtId="168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8" fillId="3" borderId="5" xfId="1" applyNumberFormat="1" applyFont="1" applyFill="1" applyBorder="1"/>
    <xf numFmtId="166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67" fontId="39" fillId="3" borderId="15" xfId="2" applyNumberFormat="1" applyFont="1" applyFill="1" applyBorder="1" applyAlignment="1">
      <alignment horizontal="right"/>
    </xf>
    <xf numFmtId="166" fontId="39" fillId="3" borderId="17" xfId="1" applyNumberFormat="1" applyFont="1" applyFill="1" applyBorder="1" applyAlignment="1">
      <alignment horizontal="right"/>
    </xf>
    <xf numFmtId="167" fontId="39" fillId="3" borderId="5" xfId="2" applyNumberFormat="1" applyFont="1" applyFill="1" applyBorder="1" applyAlignment="1">
      <alignment horizontal="right"/>
    </xf>
    <xf numFmtId="166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67" fontId="40" fillId="4" borderId="5" xfId="2" applyNumberFormat="1" applyFont="1" applyFill="1" applyBorder="1" applyAlignment="1">
      <alignment horizontal="right"/>
    </xf>
    <xf numFmtId="166" fontId="40" fillId="4" borderId="13" xfId="1" applyNumberFormat="1" applyFont="1" applyFill="1" applyBorder="1" applyAlignment="1">
      <alignment horizontal="right"/>
    </xf>
    <xf numFmtId="167" fontId="39" fillId="0" borderId="5" xfId="2" applyNumberFormat="1" applyFont="1" applyFill="1" applyBorder="1" applyAlignment="1">
      <alignment horizontal="right"/>
    </xf>
    <xf numFmtId="167" fontId="41" fillId="2" borderId="9" xfId="2" applyNumberFormat="1" applyFont="1" applyFill="1" applyBorder="1" applyAlignment="1">
      <alignment horizontal="right"/>
    </xf>
    <xf numFmtId="167" fontId="39" fillId="0" borderId="3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right"/>
    </xf>
    <xf numFmtId="167" fontId="39" fillId="3" borderId="7" xfId="2" applyNumberFormat="1" applyFont="1" applyFill="1" applyBorder="1" applyAlignment="1">
      <alignment horizontal="right"/>
    </xf>
    <xf numFmtId="166" fontId="39" fillId="3" borderId="12" xfId="1" applyNumberFormat="1" applyFont="1" applyFill="1" applyBorder="1" applyAlignment="1">
      <alignment horizontal="right"/>
    </xf>
    <xf numFmtId="167" fontId="40" fillId="5" borderId="5" xfId="2" applyNumberFormat="1" applyFont="1" applyFill="1" applyBorder="1" applyAlignment="1">
      <alignment horizontal="right"/>
    </xf>
    <xf numFmtId="166" fontId="40" fillId="5" borderId="13" xfId="1" applyNumberFormat="1" applyFont="1" applyFill="1" applyBorder="1" applyAlignment="1">
      <alignment horizontal="right"/>
    </xf>
    <xf numFmtId="167" fontId="43" fillId="2" borderId="14" xfId="2" applyNumberFormat="1" applyFont="1" applyFill="1" applyBorder="1" applyAlignment="1">
      <alignment horizontal="right"/>
    </xf>
    <xf numFmtId="166" fontId="43" fillId="2" borderId="23" xfId="1" applyNumberFormat="1" applyFont="1" applyFill="1" applyBorder="1" applyAlignment="1">
      <alignment horizontal="right"/>
    </xf>
    <xf numFmtId="167" fontId="39" fillId="3" borderId="0" xfId="2" applyNumberFormat="1" applyFont="1" applyFill="1" applyBorder="1" applyAlignment="1">
      <alignment horizontal="right"/>
    </xf>
    <xf numFmtId="167" fontId="43" fillId="2" borderId="11" xfId="2" applyNumberFormat="1" applyFont="1" applyFill="1" applyBorder="1" applyAlignment="1">
      <alignment horizontal="right"/>
    </xf>
    <xf numFmtId="166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67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67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6" fontId="43" fillId="2" borderId="13" xfId="1" applyNumberFormat="1" applyFont="1" applyFill="1" applyBorder="1" applyAlignment="1">
      <alignment horizontal="right"/>
    </xf>
    <xf numFmtId="166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09" fontId="8" fillId="3" borderId="0" xfId="1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167" fontId="0" fillId="0" borderId="0" xfId="2" applyNumberFormat="1" applyFont="1"/>
    <xf numFmtId="210" fontId="39" fillId="3" borderId="0" xfId="0" applyNumberFormat="1" applyFont="1" applyFill="1"/>
    <xf numFmtId="210" fontId="3" fillId="3" borderId="0" xfId="0" applyNumberFormat="1" applyFont="1" applyFill="1" applyAlignment="1"/>
    <xf numFmtId="2" fontId="3" fillId="3" borderId="0" xfId="0" applyNumberFormat="1" applyFont="1" applyFill="1"/>
    <xf numFmtId="166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Fill="1"/>
    <xf numFmtId="0" fontId="45" fillId="0" borderId="0" xfId="982" applyFill="1" applyAlignment="1">
      <alignment horizontal="center"/>
    </xf>
    <xf numFmtId="0" fontId="45" fillId="0" borderId="0" xfId="982" applyAlignment="1">
      <alignment horizontal="center"/>
    </xf>
    <xf numFmtId="0" fontId="45" fillId="0" borderId="0" xfId="982" applyFont="1" applyAlignment="1">
      <alignment horizontal="center"/>
    </xf>
    <xf numFmtId="212" fontId="45" fillId="0" borderId="25" xfId="982" applyNumberFormat="1" applyFill="1" applyBorder="1"/>
    <xf numFmtId="0" fontId="9" fillId="0" borderId="25" xfId="982" applyFont="1" applyBorder="1"/>
    <xf numFmtId="169" fontId="0" fillId="0" borderId="0" xfId="943" applyNumberFormat="1" applyFont="1"/>
    <xf numFmtId="169" fontId="45" fillId="0" borderId="0" xfId="982" applyNumberFormat="1"/>
    <xf numFmtId="169" fontId="0" fillId="0" borderId="0" xfId="943" applyNumberFormat="1" applyFont="1" applyFill="1"/>
    <xf numFmtId="0" fontId="9" fillId="0" borderId="0" xfId="982" applyFont="1"/>
    <xf numFmtId="169" fontId="0" fillId="0" borderId="25" xfId="943" applyNumberFormat="1" applyFont="1" applyFill="1" applyBorder="1"/>
    <xf numFmtId="169" fontId="0" fillId="0" borderId="25" xfId="943" applyNumberFormat="1" applyFont="1" applyBorder="1"/>
    <xf numFmtId="169" fontId="9" fillId="0" borderId="0" xfId="943" applyNumberFormat="1" applyFont="1"/>
    <xf numFmtId="169" fontId="0" fillId="0" borderId="28" xfId="943" applyNumberFormat="1" applyFont="1" applyBorder="1"/>
    <xf numFmtId="212" fontId="45" fillId="0" borderId="25" xfId="982" applyNumberFormat="1" applyBorder="1"/>
    <xf numFmtId="0" fontId="9" fillId="0" borderId="0" xfId="982" applyFont="1" applyFill="1" applyAlignment="1">
      <alignment horizontal="center"/>
    </xf>
    <xf numFmtId="213" fontId="0" fillId="0" borderId="0" xfId="943" applyNumberFormat="1" applyFont="1"/>
    <xf numFmtId="169" fontId="0" fillId="0" borderId="0" xfId="943" applyNumberFormat="1" applyFont="1" applyBorder="1"/>
    <xf numFmtId="169" fontId="0" fillId="20" borderId="0" xfId="943" applyNumberFormat="1" applyFont="1" applyFill="1"/>
    <xf numFmtId="169" fontId="0" fillId="0" borderId="0" xfId="943" applyNumberFormat="1" applyFont="1" applyFill="1" applyBorder="1"/>
    <xf numFmtId="169" fontId="0" fillId="20" borderId="25" xfId="943" applyNumberFormat="1" applyFont="1" applyFill="1" applyBorder="1"/>
    <xf numFmtId="213" fontId="9" fillId="0" borderId="0" xfId="943" applyNumberFormat="1" applyFont="1" applyFill="1"/>
    <xf numFmtId="169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69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5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69" fontId="60" fillId="0" borderId="0" xfId="943" applyNumberFormat="1" applyFont="1"/>
    <xf numFmtId="169" fontId="60" fillId="0" borderId="25" xfId="943" applyNumberFormat="1" applyFont="1" applyBorder="1"/>
    <xf numFmtId="169" fontId="60" fillId="0" borderId="28" xfId="943" applyNumberFormat="1" applyFont="1" applyBorder="1"/>
    <xf numFmtId="169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0" fontId="60" fillId="0" borderId="0" xfId="987" applyFill="1"/>
    <xf numFmtId="213" fontId="9" fillId="0" borderId="0" xfId="943" applyNumberFormat="1" applyFont="1" applyFill="1"/>
    <xf numFmtId="169" fontId="60" fillId="0" borderId="0" xfId="987" applyNumberFormat="1"/>
    <xf numFmtId="169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60" fillId="0" borderId="0" xfId="987" applyFont="1" applyAlignment="1">
      <alignment horizontal="center"/>
    </xf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69" fontId="9" fillId="0" borderId="0" xfId="943" applyNumberFormat="1" applyFont="1"/>
    <xf numFmtId="14" fontId="60" fillId="0" borderId="0" xfId="987" applyNumberFormat="1"/>
    <xf numFmtId="0" fontId="60" fillId="0" borderId="0" xfId="987" applyBorder="1"/>
    <xf numFmtId="0" fontId="9" fillId="0" borderId="25" xfId="987" applyFont="1" applyFill="1" applyBorder="1" applyAlignment="1">
      <alignment horizontal="center"/>
    </xf>
    <xf numFmtId="169" fontId="60" fillId="0" borderId="0" xfId="987" applyNumberFormat="1" applyBorder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69" fontId="60" fillId="0" borderId="0" xfId="987" applyNumberFormat="1" applyFill="1"/>
    <xf numFmtId="169" fontId="9" fillId="0" borderId="0" xfId="943" applyNumberFormat="1" applyFont="1" applyFill="1"/>
    <xf numFmtId="169" fontId="9" fillId="0" borderId="25" xfId="943" applyNumberFormat="1" applyFont="1" applyFill="1" applyBorder="1"/>
    <xf numFmtId="169" fontId="60" fillId="0" borderId="0" xfId="943" applyNumberFormat="1" applyFont="1" applyFill="1"/>
    <xf numFmtId="0" fontId="9" fillId="0" borderId="0" xfId="987" applyFont="1" applyAlignment="1">
      <alignment horizontal="center"/>
    </xf>
    <xf numFmtId="169" fontId="60" fillId="0" borderId="25" xfId="943" applyNumberFormat="1" applyFont="1" applyFill="1" applyBorder="1"/>
    <xf numFmtId="169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5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69" fontId="60" fillId="0" borderId="25" xfId="987" applyNumberFormat="1" applyFill="1" applyBorder="1"/>
    <xf numFmtId="169" fontId="60" fillId="0" borderId="0" xfId="943" applyNumberFormat="1" applyFont="1" applyFill="1" applyBorder="1"/>
    <xf numFmtId="37" fontId="9" fillId="0" borderId="0" xfId="987" applyNumberFormat="1" applyFont="1" applyProtection="1"/>
    <xf numFmtId="0" fontId="60" fillId="0" borderId="0" xfId="987" applyFill="1" applyAlignment="1">
      <alignment horizontal="center"/>
    </xf>
    <xf numFmtId="212" fontId="60" fillId="0" borderId="25" xfId="987" applyNumberFormat="1" applyFill="1" applyBorder="1"/>
    <xf numFmtId="0" fontId="9" fillId="0" borderId="0" xfId="987" applyFont="1" applyFill="1" applyAlignment="1">
      <alignment horizontal="center"/>
    </xf>
    <xf numFmtId="0" fontId="51" fillId="21" borderId="29" xfId="6" applyFont="1" applyFill="1" applyBorder="1" applyAlignment="1">
      <alignment horizontal="left"/>
    </xf>
    <xf numFmtId="0" fontId="52" fillId="0" borderId="0" xfId="983" applyFont="1" applyAlignment="1" applyProtection="1">
      <alignment horizontal="left" indent="1"/>
      <protection locked="0"/>
    </xf>
    <xf numFmtId="169" fontId="1" fillId="0" borderId="0" xfId="4" applyNumberFormat="1" applyFont="1" applyBorder="1"/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169" fontId="1" fillId="0" borderId="0" xfId="4" quotePrefix="1" applyNumberFormat="1" applyFont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0" fontId="53" fillId="0" borderId="30" xfId="983" applyFont="1" applyBorder="1" applyAlignment="1" applyProtection="1">
      <alignment horizontal="left"/>
      <protection locked="0"/>
    </xf>
    <xf numFmtId="169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5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169" fontId="60" fillId="19" borderId="0" xfId="943" applyNumberFormat="1" applyFont="1" applyFill="1"/>
    <xf numFmtId="2" fontId="60" fillId="0" borderId="0" xfId="987" applyNumberFormat="1"/>
    <xf numFmtId="0" fontId="9" fillId="0" borderId="0" xfId="987" applyFont="1" applyFill="1"/>
    <xf numFmtId="212" fontId="60" fillId="0" borderId="25" xfId="987" applyNumberFormat="1" applyBorder="1" applyAlignment="1">
      <alignment horizontal="center"/>
    </xf>
    <xf numFmtId="169" fontId="9" fillId="0" borderId="0" xfId="943" quotePrefix="1" applyNumberFormat="1" applyFont="1" applyFill="1" applyBorder="1"/>
    <xf numFmtId="212" fontId="60" fillId="0" borderId="25" xfId="987" applyNumberFormat="1" applyFill="1" applyBorder="1" applyAlignment="1">
      <alignment horizontal="center"/>
    </xf>
    <xf numFmtId="169" fontId="9" fillId="0" borderId="0" xfId="987" applyNumberFormat="1" applyFont="1"/>
    <xf numFmtId="0" fontId="60" fillId="0" borderId="25" xfId="987" applyFill="1" applyBorder="1"/>
    <xf numFmtId="0" fontId="11" fillId="0" borderId="0" xfId="987" applyFont="1" applyFill="1" applyAlignment="1">
      <alignment horizontal="center"/>
    </xf>
    <xf numFmtId="212" fontId="11" fillId="0" borderId="25" xfId="987" applyNumberFormat="1" applyFont="1" applyFill="1" applyBorder="1" applyAlignment="1">
      <alignment horizontal="center"/>
    </xf>
    <xf numFmtId="37" fontId="60" fillId="0" borderId="0" xfId="987" applyNumberFormat="1" applyFill="1"/>
    <xf numFmtId="214" fontId="60" fillId="0" borderId="0" xfId="987" applyNumberFormat="1"/>
    <xf numFmtId="0" fontId="11" fillId="0" borderId="25" xfId="987" applyFont="1" applyFill="1" applyBorder="1"/>
    <xf numFmtId="169" fontId="60" fillId="19" borderId="0" xfId="987" applyNumberFormat="1" applyFill="1"/>
    <xf numFmtId="169" fontId="9" fillId="19" borderId="0" xfId="943" applyNumberFormat="1" applyFont="1" applyFill="1"/>
    <xf numFmtId="165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69" fontId="38" fillId="0" borderId="0" xfId="0" applyNumberFormat="1" applyFont="1" applyAlignment="1">
      <alignment wrapText="1"/>
    </xf>
    <xf numFmtId="169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69" fontId="38" fillId="0" borderId="14" xfId="0" applyNumberFormat="1" applyFont="1" applyBorder="1" applyAlignment="1">
      <alignment wrapText="1"/>
    </xf>
    <xf numFmtId="169" fontId="0" fillId="0" borderId="14" xfId="1" applyNumberFormat="1" applyFont="1" applyBorder="1"/>
    <xf numFmtId="169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69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69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69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5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69" fontId="0" fillId="0" borderId="0" xfId="0" applyNumberFormat="1" applyFill="1"/>
    <xf numFmtId="169" fontId="0" fillId="0" borderId="14" xfId="0" applyNumberFormat="1" applyFill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6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69" fontId="65" fillId="0" borderId="0" xfId="0" applyNumberFormat="1" applyFont="1" applyFill="1"/>
    <xf numFmtId="169" fontId="65" fillId="0" borderId="0" xfId="1" applyNumberFormat="1" applyFont="1" applyAlignment="1">
      <alignment wrapText="1"/>
    </xf>
    <xf numFmtId="169" fontId="0" fillId="0" borderId="0" xfId="0" applyNumberFormat="1"/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69" fontId="65" fillId="0" borderId="0" xfId="1" applyNumberFormat="1" applyFont="1"/>
    <xf numFmtId="169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6" fontId="0" fillId="7" borderId="0" xfId="1" applyNumberFormat="1" applyFont="1" applyFill="1"/>
    <xf numFmtId="169" fontId="65" fillId="22" borderId="25" xfId="0" applyNumberFormat="1" applyFont="1" applyFill="1" applyBorder="1"/>
    <xf numFmtId="169" fontId="65" fillId="0" borderId="25" xfId="0" applyNumberFormat="1" applyFont="1" applyFill="1" applyBorder="1"/>
    <xf numFmtId="0" fontId="66" fillId="0" borderId="25" xfId="0" applyFont="1" applyBorder="1" applyAlignment="1">
      <alignment horizontal="right" vertical="center" wrapText="1"/>
    </xf>
    <xf numFmtId="169" fontId="65" fillId="0" borderId="14" xfId="0" applyNumberFormat="1" applyFont="1" applyFill="1" applyBorder="1"/>
    <xf numFmtId="169" fontId="65" fillId="0" borderId="0" xfId="0" applyNumberFormat="1" applyFont="1" applyFill="1" applyBorder="1"/>
    <xf numFmtId="0" fontId="65" fillId="0" borderId="0" xfId="0" applyFont="1" applyBorder="1" applyAlignment="1">
      <alignment wrapText="1"/>
    </xf>
    <xf numFmtId="169" fontId="65" fillId="0" borderId="14" xfId="0" quotePrefix="1" applyNumberFormat="1" applyFont="1" applyFill="1" applyBorder="1"/>
    <xf numFmtId="169" fontId="65" fillId="0" borderId="0" xfId="0" quotePrefix="1" applyNumberFormat="1" applyFont="1" applyFill="1" applyBorder="1"/>
    <xf numFmtId="169" fontId="59" fillId="0" borderId="0" xfId="1" applyNumberFormat="1" applyFont="1" applyAlignment="1">
      <alignment horizontal="right" wrapText="1"/>
    </xf>
    <xf numFmtId="3" fontId="66" fillId="0" borderId="0" xfId="0" applyNumberFormat="1" applyFont="1" applyBorder="1" applyAlignment="1">
      <alignment horizontal="right" vertical="center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69" fontId="66" fillId="0" borderId="0" xfId="1" applyNumberFormat="1" applyFont="1" applyAlignment="1">
      <alignment horizontal="right"/>
    </xf>
    <xf numFmtId="169" fontId="66" fillId="0" borderId="14" xfId="1" applyNumberFormat="1" applyFont="1" applyBorder="1" applyAlignment="1">
      <alignment horizontal="right"/>
    </xf>
    <xf numFmtId="169" fontId="65" fillId="0" borderId="31" xfId="0" applyNumberFormat="1" applyFont="1" applyFill="1" applyBorder="1"/>
    <xf numFmtId="0" fontId="3" fillId="0" borderId="0" xfId="0" applyFont="1" applyFill="1" applyAlignment="1"/>
    <xf numFmtId="210" fontId="3" fillId="0" borderId="0" xfId="0" applyNumberFormat="1" applyFont="1" applyFill="1" applyAlignme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Fill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8" fillId="0" borderId="0" xfId="0" applyFont="1"/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0" fontId="38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0" fontId="49" fillId="0" borderId="0" xfId="0" applyFont="1" applyAlignment="1"/>
    <xf numFmtId="166" fontId="49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14" xfId="1" applyNumberFormat="1" applyFont="1" applyBorder="1"/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9" fillId="0" borderId="0" xfId="0" applyNumberFormat="1" applyFont="1" applyFill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6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6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Fill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0" fontId="68" fillId="3" borderId="0" xfId="0" applyFont="1" applyFill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6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167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Border="1" applyAlignment="1">
      <alignment horizontal="left"/>
    </xf>
    <xf numFmtId="0" fontId="73" fillId="0" borderId="0" xfId="0" applyFont="1" applyFill="1"/>
    <xf numFmtId="0" fontId="74" fillId="0" borderId="0" xfId="0" applyFont="1" applyAlignment="1">
      <alignment horizontal="right"/>
    </xf>
    <xf numFmtId="0" fontId="73" fillId="0" borderId="0" xfId="0" applyFont="1"/>
    <xf numFmtId="3" fontId="75" fillId="0" borderId="0" xfId="0" applyNumberFormat="1" applyFont="1"/>
    <xf numFmtId="3" fontId="73" fillId="0" borderId="0" xfId="0" applyNumberFormat="1" applyFont="1"/>
    <xf numFmtId="166" fontId="73" fillId="0" borderId="0" xfId="0" applyNumberFormat="1" applyFont="1"/>
    <xf numFmtId="166" fontId="73" fillId="0" borderId="0" xfId="1" applyNumberFormat="1" applyFont="1"/>
    <xf numFmtId="167" fontId="73" fillId="0" borderId="0" xfId="2" applyNumberFormat="1" applyFont="1"/>
    <xf numFmtId="166" fontId="75" fillId="0" borderId="0" xfId="0" applyNumberFormat="1" applyFont="1" applyAlignment="1">
      <alignment horizontal="right"/>
    </xf>
    <xf numFmtId="166" fontId="75" fillId="0" borderId="0" xfId="0" applyNumberFormat="1" applyFont="1"/>
    <xf numFmtId="166" fontId="74" fillId="0" borderId="0" xfId="0" applyNumberFormat="1" applyFont="1"/>
    <xf numFmtId="167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69" fontId="76" fillId="0" borderId="15" xfId="0" applyNumberFormat="1" applyFont="1" applyBorder="1" applyAlignment="1">
      <alignment horizontal="right"/>
    </xf>
    <xf numFmtId="169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69" fontId="76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69" fontId="3" fillId="3" borderId="5" xfId="0" applyNumberFormat="1" applyFont="1" applyFill="1" applyBorder="1" applyAlignment="1">
      <alignment horizontal="right"/>
    </xf>
    <xf numFmtId="166" fontId="3" fillId="3" borderId="5" xfId="1075" applyNumberFormat="1" applyFont="1" applyFill="1" applyBorder="1" applyAlignment="1">
      <alignment horizontal="right"/>
    </xf>
    <xf numFmtId="169" fontId="4" fillId="4" borderId="5" xfId="0" applyNumberFormat="1" applyFont="1" applyFill="1" applyBorder="1" applyAlignment="1">
      <alignment horizontal="right"/>
    </xf>
    <xf numFmtId="169" fontId="4" fillId="4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166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69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3" fillId="0" borderId="3" xfId="1075" applyNumberFormat="1" applyFont="1" applyFill="1" applyBorder="1" applyAlignment="1">
      <alignment horizontal="right"/>
    </xf>
    <xf numFmtId="169" fontId="8" fillId="0" borderId="3" xfId="1075" applyNumberFormat="1" applyFont="1" applyFill="1" applyBorder="1" applyAlignment="1">
      <alignment horizontal="right"/>
    </xf>
    <xf numFmtId="169" fontId="77" fillId="0" borderId="3" xfId="1075" applyNumberFormat="1" applyFont="1" applyFill="1" applyBorder="1" applyAlignment="1">
      <alignment horizontal="right"/>
    </xf>
    <xf numFmtId="169" fontId="3" fillId="0" borderId="5" xfId="1075" applyNumberFormat="1" applyFont="1" applyFill="1" applyBorder="1" applyAlignment="1">
      <alignment horizontal="right"/>
    </xf>
    <xf numFmtId="169" fontId="3" fillId="0" borderId="0" xfId="1075" applyNumberFormat="1" applyFont="1" applyFill="1" applyBorder="1" applyAlignment="1">
      <alignment horizontal="right"/>
    </xf>
    <xf numFmtId="169" fontId="3" fillId="0" borderId="37" xfId="1075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69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69" fontId="7" fillId="2" borderId="9" xfId="1075" applyNumberFormat="1" applyFont="1" applyFill="1" applyBorder="1" applyAlignment="1">
      <alignment horizontal="right"/>
    </xf>
    <xf numFmtId="211" fontId="3" fillId="3" borderId="5" xfId="1" quotePrefix="1" applyNumberFormat="1" applyFont="1" applyFill="1" applyBorder="1" applyAlignment="1">
      <alignment horizontal="right"/>
    </xf>
    <xf numFmtId="3" fontId="0" fillId="0" borderId="0" xfId="0" applyNumberFormat="1" applyFill="1"/>
    <xf numFmtId="165" fontId="0" fillId="0" borderId="0" xfId="1" applyFont="1" applyFill="1"/>
    <xf numFmtId="167" fontId="40" fillId="0" borderId="0" xfId="2" applyNumberFormat="1" applyFont="1" applyFill="1" applyBorder="1" applyAlignment="1">
      <alignment horizontal="right"/>
    </xf>
    <xf numFmtId="0" fontId="61" fillId="0" borderId="14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33</xdr:col>
      <xdr:colOff>9526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" y="0"/>
          <a:ext cx="7762874" cy="1162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8659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7654636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22</xdr:col>
      <xdr:colOff>13607</xdr:colOff>
      <xdr:row>1</xdr:row>
      <xdr:rowOff>11723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6599463" cy="1161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kp\MARKETIN\KITMID\KITFX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Operacoes\Transporte\Planejamento_Controle\Indicadores\Esta&#231;&#245;es\An&#225;lisePerfilDemandaMAIO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1\Modelos\5a%20Vers&#227;o\20101216_Or&#231;amento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0\20100211_Or&#231;amento_2010%20-%20APROV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ATA\EXCEL\RATF01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1\COKE\Flow-Exercise&amp;Estimate\Flow&amp;Estimate&amp;Info\Flows\FCCI2001TV-05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zrjz\.RIO_DPZRIO.DPZ\TRANSFER\MIDIA\Souzacruz\CARLTON\2000\Planos\CARLTON%202000%20revis&#227;o%2014%20de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1%25TARP\1%25TA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Coke\MEDPLANS\1999\COKE\FLOPR19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ANTARCTI\Investimento%20Publicit&#225;rio%201996-19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MICHELIN\INVEST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9\RATBOT9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ed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7\FLOW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FLOPR19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WINDOWS/Temporary%20Internet%20Files/Content.IE5/DG04OI26/Press_Maranh&#227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DOCUME~1/66597/CONFIG~1/Temp/ICEOWS/ViewUpd/TarifOr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KITMID/KITFX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EMID\JDSUL\cro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SI/SI_AT/CSL/Spc/BVR/2000/Conselho/BadeR2000_NR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Users\thiago\Desktop\20110103_Redefini&#231;&#227;o%20de%20Potencial%20e%20Comiss&#227;o%20para%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DATA\EXCEL\RATF01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Modelos\20110107_Or&#231;amento%202011%20(FIN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2\Coke\FCC2002-01-09-27aOPM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1999\COKE\DATA\EXCEL\RATF0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FLOPR19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XLS/TAB/T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20120120_Planilha_Or&#231;amento_2012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  <sheetName val="Diretrizes"/>
    </sheetNames>
    <sheetDataSet>
      <sheetData sheetId="0" refreshError="1"/>
      <sheetData sheetId="1" refreshError="1"/>
      <sheetData sheetId="2" refreshError="1"/>
      <sheetData sheetId="3" refreshError="1">
        <row r="2">
          <cell r="I2" t="str">
            <v>Jan.´01</v>
          </cell>
          <cell r="J2" t="str">
            <v>JAN</v>
          </cell>
          <cell r="L2" t="str">
            <v>JAN</v>
          </cell>
          <cell r="M2" t="str">
            <v>JAN</v>
          </cell>
          <cell r="N2" t="str">
            <v>JAN</v>
          </cell>
          <cell r="O2" t="str">
            <v>JAN</v>
          </cell>
        </row>
        <row r="3">
          <cell r="J3" t="str">
            <v>FEV</v>
          </cell>
          <cell r="K3" t="str">
            <v>FEV</v>
          </cell>
          <cell r="L3" t="str">
            <v>FEV</v>
          </cell>
          <cell r="M3" t="str">
            <v>FEV</v>
          </cell>
          <cell r="N3" t="str">
            <v>FEV</v>
          </cell>
          <cell r="O3" t="str">
            <v>FEV</v>
          </cell>
        </row>
        <row r="4">
          <cell r="J4" t="str">
            <v>MAR</v>
          </cell>
          <cell r="K4" t="str">
            <v>MAR</v>
          </cell>
          <cell r="L4" t="str">
            <v>MAR</v>
          </cell>
          <cell r="M4" t="str">
            <v>MAR</v>
          </cell>
          <cell r="N4" t="str">
            <v>MAR</v>
          </cell>
          <cell r="O4" t="str">
            <v>MAR</v>
          </cell>
        </row>
        <row r="5">
          <cell r="J5" t="str">
            <v>ABR</v>
          </cell>
          <cell r="K5" t="str">
            <v>ABR</v>
          </cell>
          <cell r="L5" t="str">
            <v>ABR</v>
          </cell>
          <cell r="M5" t="str">
            <v>ABR</v>
          </cell>
          <cell r="N5" t="str">
            <v>ABR</v>
          </cell>
          <cell r="O5" t="str">
            <v>ABR</v>
          </cell>
        </row>
        <row r="6">
          <cell r="J6" t="str">
            <v>MAIO</v>
          </cell>
          <cell r="K6" t="str">
            <v>MAIO</v>
          </cell>
          <cell r="L6" t="str">
            <v>MAIO</v>
          </cell>
          <cell r="M6" t="str">
            <v>MAIO</v>
          </cell>
          <cell r="N6" t="str">
            <v>MAIO</v>
          </cell>
          <cell r="O6" t="str">
            <v>MAIO</v>
          </cell>
        </row>
        <row r="7">
          <cell r="J7" t="str">
            <v>JUN</v>
          </cell>
          <cell r="K7" t="str">
            <v>JUN</v>
          </cell>
          <cell r="L7" t="str">
            <v>JUN</v>
          </cell>
          <cell r="M7" t="str">
            <v>JUN</v>
          </cell>
          <cell r="N7" t="str">
            <v>JUN</v>
          </cell>
          <cell r="O7" t="str">
            <v>JUN</v>
          </cell>
        </row>
        <row r="8">
          <cell r="J8" t="str">
            <v>JUL</v>
          </cell>
          <cell r="K8" t="str">
            <v>JUL</v>
          </cell>
          <cell r="L8" t="str">
            <v>JUL</v>
          </cell>
          <cell r="M8" t="str">
            <v>JUL</v>
          </cell>
          <cell r="N8" t="str">
            <v>JUL</v>
          </cell>
          <cell r="O8" t="str">
            <v>JUL</v>
          </cell>
        </row>
        <row r="9">
          <cell r="J9" t="str">
            <v>AGO</v>
          </cell>
          <cell r="K9" t="str">
            <v>AGO</v>
          </cell>
          <cell r="L9" t="str">
            <v>AGO</v>
          </cell>
          <cell r="M9" t="str">
            <v>AGO</v>
          </cell>
          <cell r="N9" t="str">
            <v>AGO</v>
          </cell>
          <cell r="O9" t="str">
            <v>AGO</v>
          </cell>
        </row>
        <row r="10">
          <cell r="J10" t="str">
            <v>SET</v>
          </cell>
          <cell r="K10" t="str">
            <v>SET</v>
          </cell>
          <cell r="L10" t="str">
            <v>SET</v>
          </cell>
          <cell r="M10" t="str">
            <v>SET</v>
          </cell>
          <cell r="N10" t="str">
            <v>SET</v>
          </cell>
          <cell r="O10" t="str">
            <v>SET</v>
          </cell>
        </row>
        <row r="11">
          <cell r="J11" t="str">
            <v>OUT</v>
          </cell>
          <cell r="K11" t="str">
            <v>OUT</v>
          </cell>
          <cell r="L11" t="str">
            <v>OUT</v>
          </cell>
          <cell r="M11" t="str">
            <v>OUT</v>
          </cell>
          <cell r="N11" t="str">
            <v>OUT</v>
          </cell>
          <cell r="O11" t="str">
            <v>OUT</v>
          </cell>
        </row>
        <row r="12">
          <cell r="J12" t="str">
            <v>NOV</v>
          </cell>
          <cell r="K12" t="str">
            <v>NOV</v>
          </cell>
          <cell r="L12" t="str">
            <v>NOV</v>
          </cell>
          <cell r="M12" t="str">
            <v>NOV</v>
          </cell>
          <cell r="N12" t="str">
            <v>NOV</v>
          </cell>
          <cell r="O12" t="str">
            <v>NOV</v>
          </cell>
        </row>
        <row r="13">
          <cell r="J13" t="str">
            <v>DEZ</v>
          </cell>
          <cell r="K13" t="str">
            <v>DEZ</v>
          </cell>
          <cell r="L13" t="str">
            <v>DEZ</v>
          </cell>
          <cell r="M13" t="str">
            <v>DEZ</v>
          </cell>
          <cell r="N13" t="str">
            <v>DEZ</v>
          </cell>
          <cell r="O13" t="str">
            <v>DEZ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N10">
            <v>30</v>
          </cell>
          <cell r="T10">
            <v>21</v>
          </cell>
          <cell r="U10">
            <v>23</v>
          </cell>
          <cell r="V10">
            <v>26</v>
          </cell>
        </row>
        <row r="11">
          <cell r="N11">
            <v>20</v>
          </cell>
          <cell r="T11">
            <v>24</v>
          </cell>
          <cell r="U11">
            <v>27</v>
          </cell>
          <cell r="V11">
            <v>29</v>
          </cell>
        </row>
        <row r="12">
          <cell r="N12">
            <v>20</v>
          </cell>
          <cell r="T12">
            <v>22</v>
          </cell>
          <cell r="U12">
            <v>29</v>
          </cell>
          <cell r="V12">
            <v>29</v>
          </cell>
        </row>
        <row r="13">
          <cell r="N13">
            <v>52</v>
          </cell>
          <cell r="T13">
            <v>13</v>
          </cell>
          <cell r="U13">
            <v>17</v>
          </cell>
          <cell r="V13">
            <v>18</v>
          </cell>
        </row>
        <row r="14">
          <cell r="N14">
            <v>34</v>
          </cell>
          <cell r="T14">
            <v>16</v>
          </cell>
          <cell r="U14">
            <v>32</v>
          </cell>
          <cell r="V14">
            <v>18</v>
          </cell>
        </row>
        <row r="15">
          <cell r="N15">
            <v>37</v>
          </cell>
          <cell r="T15">
            <v>15</v>
          </cell>
          <cell r="U15">
            <v>25</v>
          </cell>
          <cell r="V15">
            <v>23</v>
          </cell>
        </row>
        <row r="16">
          <cell r="N16">
            <v>45</v>
          </cell>
          <cell r="T16">
            <v>8</v>
          </cell>
          <cell r="U16">
            <v>28</v>
          </cell>
          <cell r="V16">
            <v>19</v>
          </cell>
        </row>
        <row r="17">
          <cell r="N17">
            <v>28</v>
          </cell>
          <cell r="T17">
            <v>21</v>
          </cell>
          <cell r="U17">
            <v>29</v>
          </cell>
          <cell r="V17">
            <v>22</v>
          </cell>
        </row>
        <row r="18">
          <cell r="N18">
            <v>18</v>
          </cell>
          <cell r="T18">
            <v>19</v>
          </cell>
          <cell r="U18">
            <v>27</v>
          </cell>
          <cell r="V18">
            <v>36</v>
          </cell>
        </row>
        <row r="19">
          <cell r="N19">
            <v>7</v>
          </cell>
          <cell r="T19">
            <v>6</v>
          </cell>
          <cell r="U19">
            <v>25</v>
          </cell>
          <cell r="V19">
            <v>62</v>
          </cell>
        </row>
        <row r="20">
          <cell r="N20">
            <v>15</v>
          </cell>
          <cell r="T20">
            <v>9</v>
          </cell>
          <cell r="U20">
            <v>17</v>
          </cell>
          <cell r="V20">
            <v>59</v>
          </cell>
        </row>
        <row r="21">
          <cell r="N21">
            <v>12</v>
          </cell>
          <cell r="T21">
            <v>7</v>
          </cell>
          <cell r="U21">
            <v>15</v>
          </cell>
          <cell r="V21">
            <v>66</v>
          </cell>
        </row>
        <row r="22">
          <cell r="N22">
            <v>43</v>
          </cell>
          <cell r="T22">
            <v>6</v>
          </cell>
          <cell r="U22">
            <v>17</v>
          </cell>
          <cell r="V22">
            <v>34</v>
          </cell>
        </row>
        <row r="23">
          <cell r="N23">
            <v>16</v>
          </cell>
          <cell r="T23">
            <v>20</v>
          </cell>
          <cell r="U23">
            <v>27</v>
          </cell>
          <cell r="V23">
            <v>37</v>
          </cell>
        </row>
        <row r="24">
          <cell r="N24">
            <v>14</v>
          </cell>
          <cell r="T24">
            <v>19</v>
          </cell>
          <cell r="U24">
            <v>23</v>
          </cell>
          <cell r="V24">
            <v>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-Downside"/>
      <sheetName val="EBITDA Waterfall"/>
      <sheetName val="Apoio"/>
      <sheetName val="Metas PLR"/>
      <sheetName val="RESUMO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CONSOLIDADO"/>
      <sheetName val="Estudos da Cota"/>
      <sheetName val="Definição da Cota"/>
      <sheetName val="Graf Sazonalidade"/>
      <sheetName val="Cotas 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O20">
            <v>1</v>
          </cell>
        </row>
        <row r="23">
          <cell r="Q23">
            <v>0.05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dHora"/>
      <sheetName val="Premissas Macro"/>
      <sheetName val="RESUMO"/>
      <sheetName val="Principal"/>
      <sheetName val="BadeR99_NBA"/>
      <sheetName val="Controle De ASO's"/>
      <sheetName val="Variaveis"/>
      <sheetName val="Previsão de Vagões"/>
      <sheetName val="Espera"/>
      <sheetName val="Saldos"/>
      <sheetName val="Gráficos"/>
      <sheetName val="Navios"/>
      <sheetName val="Armazéns"/>
      <sheetName val="Categorias"/>
      <sheetName val="Check List- Gerrot"/>
      <sheetName val="Quadro Funcional"/>
      <sheetName val="Anexo X - ENSINO"/>
      <sheetName val="Dados"/>
      <sheetName val="CLAS"/>
      <sheetName val="Step2_Correlation"/>
      <sheetName val="Step2_Histogram"/>
      <sheetName val="Step_0_Team_CALENDAR"/>
      <sheetName val="Lists"/>
      <sheetName val="Tabela1"/>
      <sheetName val="Pacotes"/>
      <sheetName val="REB MX - TIPO"/>
      <sheetName val="DemoRes_(2)"/>
      <sheetName val="RecLiqServ_(2)"/>
      <sheetName val="DetDemoRes_(2)"/>
      <sheetName val="Controle_De_ASO's"/>
      <sheetName val="Previsão_de_Vagões"/>
      <sheetName val="Check_List-_Gerrot"/>
      <sheetName val="PORTOS"/>
      <sheetName val="AMI"/>
      <sheetName val="Check List"/>
      <sheetName val="Plan1"/>
      <sheetName val="récapprobable98"/>
      <sheetName val="ComentariosCusteio"/>
      <sheetName val="Disp 2005 FCA"/>
      <sheetName val="PERGUNTAS"/>
      <sheetName val="Check Farol"/>
      <sheetName val="Grupo x Justif"/>
      <sheetName val="EAIGESEN"/>
      <sheetName val="JANEIRO98"/>
      <sheetName val="DCF"/>
      <sheetName val="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Resumo Vendas"/>
      <sheetName val="RESUMO"/>
      <sheetName val="Custo Cap Giro"/>
      <sheetName val="DRE"/>
      <sheetName val="DRE (Euro)"/>
      <sheetName val="Balanço"/>
      <sheetName val="Fluxo Caixa"/>
      <sheetName val="Capital Giro"/>
      <sheetName val="Desp. e Rec. Financeiras"/>
      <sheetName val="D &amp; A"/>
      <sheetName val="IR e CSLL"/>
      <sheetName val="Provisão PLR"/>
      <sheetName val="Fluxo Proj vendas"/>
      <sheetName val="Plan5"/>
      <sheetName val="Share"/>
      <sheetName val="Vendas Relógios"/>
      <sheetName val="Premissas Vendas Relógios"/>
      <sheetName val="EUR"/>
      <sheetName val="CMV Relógios"/>
      <sheetName val="Premissas Macro"/>
      <sheetName val="Fretes"/>
      <sheetName val="Headcount"/>
      <sheetName val="Comercial"/>
      <sheetName val="Administrativo"/>
      <sheetName val="Manaus"/>
      <sheetName val="Assist. Técnica"/>
      <sheetName val="Investimentos"/>
      <sheetName val="Metas PLR"/>
      <sheetName val="BAN"/>
      <sheetName val="BEL"/>
      <sheetName val="CTB"/>
      <sheetName val="CTO"/>
      <sheetName val="MAG"/>
      <sheetName val="POA"/>
      <sheetName val="REC"/>
      <sheetName val="RIO"/>
      <sheetName val="SVD"/>
      <sheetName val="BSB"/>
      <sheetName val="Total Technos"/>
      <sheetName val="EURO"/>
    </sheetNames>
    <sheetDataSet>
      <sheetData sheetId="0" refreshError="1"/>
      <sheetData sheetId="1" refreshError="1"/>
      <sheetData sheetId="2" refreshError="1">
        <row r="1">
          <cell r="K1">
            <v>1</v>
          </cell>
          <cell r="Z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P4">
            <v>4.7999999999999996E-3</v>
          </cell>
        </row>
        <row r="5">
          <cell r="AA5">
            <v>4.353599328326907E-2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emissas Macro"/>
      <sheetName val="RESUMO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IFL"/>
      <sheetName val="DIFN"/>
      <sheetName val="DIFS"/>
      <sheetName val="DIPE"/>
      <sheetName val="FGC"/>
      <sheetName val="Ligas"/>
      <sheetName val="Mn"/>
      <sheetName val="Pareto_Dispersões_por_Produto"/>
      <sheetName val="Pareto_Dispersões_por_Área"/>
      <sheetName val="Extratif_Dispersões_por_Área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  <sheetName val="BANCO DE DADOS_ESTRUTURA"/>
      <sheetName val="REB MX - TIPO"/>
      <sheetName val="Variaveis"/>
      <sheetName val="Ciclo Vagão"/>
      <sheetName val="DADOS"/>
      <sheetName val="Previsão de Vagões"/>
      <sheetName val="Espera"/>
      <sheetName val="Saldos"/>
      <sheetName val="Gráficos"/>
      <sheetName val="Armazéns"/>
      <sheetName val="ComentariosCusteio"/>
      <sheetName val="Vagões ECM"/>
      <sheetName val="Decretos_PIS-COFINS"/>
      <sheetName val="Check List- 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dHora"/>
      <sheetName val="MID"/>
      <sheetName val="mapa"/>
      <sheetName val="RATF0104"/>
      <sheetName val="MêsBase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Flow 2007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Internet Out"/>
      <sheetName val="Internet Nov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OBS"/>
      <sheetName val="Check List- Gerrot"/>
      <sheetName val="VENDAS&quot;TUP´S"/>
      <sheetName val="OPERAÇÃM"/>
      <sheetName val="EXTRC  VENDAS&quot;TUP´S"/>
      <sheetName val="COORD ORERAÇÃO"/>
      <sheetName val="Validações"/>
      <sheetName val="Cronograma"/>
      <sheetName val="DIR MERCADO CONSUMIDOR"/>
      <sheetName val="GDP"/>
      <sheetName val="MêsBase"/>
      <sheetName val="Variáveis"/>
      <sheetName val="GLOPER_30abril"/>
      <sheetName val="Cashflow"/>
      <sheetName val="#REF"/>
      <sheetName val="Just Nat 57 B"/>
      <sheetName val="Dados"/>
      <sheetName val="OK Premissas Nat 56"/>
      <sheetName val="Menu"/>
      <sheetName val="P_Gerencias"/>
      <sheetName val="P_SiglasGerencias"/>
      <sheetName val="Justif Nat 51"/>
      <sheetName val="OK Justif Nat 58 "/>
      <sheetName val="JUST NAT 52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INT."/>
      <sheetName val="MOTIVO "/>
      <sheetName val="COMPARATIVO"/>
      <sheetName val="CRONOGRAMA"/>
      <sheetName val="PROG. TV aberta CA"/>
      <sheetName val="CA SP INTERIOR"/>
      <sheetName val="PROGRAMETE TV aberta"/>
      <sheetName val="SP INTERIOR"/>
      <sheetName val="PROG. TV aberta FOX"/>
      <sheetName val="FOX SP INTERIOR"/>
      <sheetName val="MTV"/>
      <sheetName val="PROG. TV ABERTA CD"/>
      <sheetName val="CD SP INTERIOR"/>
      <sheetName val="PROG. TV ABERTA - TOTAL"/>
      <sheetName val="TV-PROGRAMETE"/>
      <sheetName val="PATROCÍNIOS"/>
      <sheetName val="CAPA REVISTA"/>
      <sheetName val="REVISTA-INS."/>
      <sheetName val="REVISTA-$"/>
      <sheetName val="EDITORA"/>
      <sheetName val="JORNAL"/>
      <sheetName val="BASE REVISTA"/>
      <sheetName val="FILIAL"/>
      <sheetName val="TOTAL U$"/>
      <sheetName val="BASE"/>
      <sheetName val="PROJEÇÃO"/>
      <sheetName val="Módulo1"/>
      <sheetName val="Módulo2"/>
      <sheetName val="Módulo3"/>
      <sheetName val="PROG_ TV aberta CA"/>
      <sheetName val="PROG_ TV aberta FOX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OBS"/>
      <sheetName val="1%TARP"/>
      <sheetName val="Resumo_por_P"/>
      <sheetName val="1%TARP_-_SET'96"/>
      <sheetName val="1%TARP_-_OUT'96"/>
      <sheetName val="1%TARP_-_FEV'97"/>
      <sheetName val="1%TARP_-_JUN'97"/>
      <sheetName val="1%TARP_-_OUT'97"/>
      <sheetName val="PROG. TV aberta CA"/>
      <sheetName val="PROG. TV aberta FOX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FLOPR19C"/>
      <sheetName val="Tabelas"/>
      <sheetName val="Budget Coca-Col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Resumo por P"/>
      <sheetName val="Plan1"/>
      <sheetName val="EXCEL2"/>
      <sheetName val="Instruções"/>
      <sheetName val="Identificação"/>
      <sheetName val="Pareto"/>
      <sheetName val="Estratificação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Principal"/>
      <sheetName val="Dados"/>
      <sheetName val="Análise das Causas "/>
      <sheetName val="Análise das Hipóteses "/>
      <sheetName val="5 Porquês"/>
      <sheetName val="Relatório de Anomalia"/>
      <sheetName val="JLLE"/>
      <sheetName val="MAUA"/>
      <sheetName val="MêsBase"/>
      <sheetName val="controle-ARQUIVO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elas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Análise_das_Causas_"/>
      <sheetName val="Análise_das_Hipóteses_"/>
      <sheetName val="5_Porquês"/>
      <sheetName val="Relatório_de_Anomalia"/>
      <sheetName val="Coordenadas"/>
      <sheetName val="CEARA"/>
      <sheetName val="RTA"/>
      <sheetName val="Import_Capex"/>
      <sheetName val="BadeR99_CE"/>
      <sheetName val="Real"/>
      <sheetName val="Lista Completa"/>
      <sheetName val="MH Installations"/>
      <sheetName val="oficial"/>
      <sheetName val="Promoção"/>
      <sheetName val="Cronograma"/>
      <sheetName val="henfel"/>
      <sheetName val="ACOPL ENG"/>
      <sheetName val="Voith"/>
      <sheetName val="Solicitação Gestão"/>
      <sheetName val="Tabela_aux organograma"/>
      <sheetName val="Check List- Gerrot"/>
      <sheetName val="Check List"/>
      <sheetName val="Check Farol"/>
      <sheetName val="Diário de Bo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sispecabr99"/>
      <sheetName val="AR @ ACT"/>
      <sheetName val="Investimento%20Publicitário%201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INVESTIM.XL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gião Sul"/>
      <sheetName val="sispecabr99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Tab IC Mar"/>
      <sheetName val="NOME DO COLABORADOR"/>
      <sheetName val="Listas"/>
      <sheetName val="Cronograma"/>
      <sheetName val="Pessoal CVRD"/>
      <sheetName val="Solução"/>
      <sheetName val="#REF"/>
      <sheetName val="Auxiliar"/>
      <sheetName val="Custos de Equip.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Resumo EFVM"/>
      <sheetName val="Metas IEA"/>
      <sheetName val="Principal"/>
      <sheetName val="LEG"/>
      <sheetName val="PAN_3s"/>
      <sheetName val="MELHORIAS E OPÇÕES"/>
      <sheetName val="4.Painel"/>
      <sheetName val="Anx7_Lista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5W2H"/>
      <sheetName val="Check Farol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Anx1_Listas"/>
      <sheetName val="1.Pgm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Rela\à_x0013__x0000_^à_x0013__x0000_@×_x0013__x0000__x000c_·_x0000_0^"/>
      <sheetName val="F"/>
      <sheetName val="Sispec"/>
      <sheetName val="Inputs_Unidades_Geradoras"/>
      <sheetName val="Real"/>
      <sheetName val="Lista Completa"/>
      <sheetName val="BD"/>
      <sheetName val="Crono Físico (medições)"/>
      <sheetName val="Produto"/>
      <sheetName val="MENU CAUE"/>
      <sheetName val="Caract. Contratos - Dez-00"/>
      <sheetName val="Crono Diret Operações"/>
      <sheetName val="INPUT"/>
      <sheetName val="Glossario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Região Sul"/>
      <sheetName val="FRED_=_Freq__Estimating_Device"/>
      <sheetName val="Região_Sul"/>
      <sheetName val="fred1"/>
      <sheetName val="CEAR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Budget_Coca-Cola"/>
      <sheetName val="Budget_Coca_Cola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Região 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Budget Coca-Cola"/>
      <sheetName val="Ficha_Técnic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esumo_Cobertura"/>
      <sheetName val="Resumo_Source_Venda"/>
      <sheetName val="Resumo"/>
      <sheetName val="Resumo Compra"/>
      <sheetName val="Resumo Mês"/>
      <sheetName val="Resumo Mês Compra"/>
      <sheetName val="Resumo_Source_Compra"/>
      <sheetName val="Source_List"/>
      <sheetName val="Gráficos"/>
      <sheetName val="Values"/>
      <sheetName val="Log"/>
      <sheetName val="Ficha Técnica"/>
    </sheetNames>
    <sheetDataSet>
      <sheetData sheetId="0" refreshError="1"/>
      <sheetData sheetId="1" refreshError="1">
        <row r="13">
          <cell r="B13" t="str">
            <v>Raquel Pinhão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j"/>
      <sheetName val="TRJ"/>
      <sheetName val="TMG"/>
      <sheetName val="TES"/>
      <sheetName val="TBA"/>
      <sheetName val="TSE"/>
      <sheetName val="TAL"/>
      <sheetName val="TPE"/>
      <sheetName val="TPB"/>
      <sheetName val="TRN"/>
      <sheetName val="TCE"/>
      <sheetName val="TPI"/>
      <sheetName val="TMA"/>
      <sheetName val="TPA"/>
      <sheetName val="TAM"/>
      <sheetName val="TAP"/>
      <sheetName val="TRR"/>
      <sheetName val="TSP"/>
      <sheetName val="TMAR"/>
      <sheetName val="Tab"/>
      <sheetName val="RMG"/>
      <sheetName val="TarifOrc2004"/>
      <sheetName val="Resumo_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 t="str">
            <v>TRJ</v>
          </cell>
          <cell r="B3">
            <v>30</v>
          </cell>
          <cell r="C3">
            <v>21.690297999999999</v>
          </cell>
          <cell r="D3">
            <v>36.924705000000003</v>
          </cell>
          <cell r="E3">
            <v>36.924705000000003</v>
          </cell>
          <cell r="F3">
            <v>8.2885065999999993E-2</v>
          </cell>
          <cell r="G3">
            <v>6.1446734999999995E-2</v>
          </cell>
          <cell r="H3">
            <v>93.36</v>
          </cell>
          <cell r="I3">
            <v>0.11220010400000001</v>
          </cell>
          <cell r="J3">
            <v>5.5812668190349413E-2</v>
          </cell>
          <cell r="K3">
            <v>8.7435628000000001E-2</v>
          </cell>
          <cell r="L3">
            <v>0.40154206093406419</v>
          </cell>
          <cell r="M3">
            <v>0.82142999999999999</v>
          </cell>
          <cell r="N3">
            <v>0.93463999999999992</v>
          </cell>
          <cell r="O3">
            <v>0.3</v>
          </cell>
        </row>
        <row r="4">
          <cell r="A4" t="str">
            <v>TMG</v>
          </cell>
          <cell r="B4">
            <v>30</v>
          </cell>
          <cell r="C4">
            <v>21.690297999999999</v>
          </cell>
          <cell r="D4">
            <v>35.214195000000004</v>
          </cell>
          <cell r="E4">
            <v>35.214195000000004</v>
          </cell>
          <cell r="F4">
            <v>8.2713555999999994E-2</v>
          </cell>
          <cell r="G4">
            <v>6.6077234999999998E-2</v>
          </cell>
          <cell r="H4">
            <v>93.36</v>
          </cell>
          <cell r="I4">
            <v>0.11220010400000001</v>
          </cell>
          <cell r="J4">
            <v>5.3020411375707149E-2</v>
          </cell>
          <cell r="K4">
            <v>0.1005664</v>
          </cell>
          <cell r="L4">
            <v>0.41952897078343515</v>
          </cell>
          <cell r="M4">
            <v>0.82142999999999999</v>
          </cell>
          <cell r="N4">
            <v>0.93463999999999992</v>
          </cell>
          <cell r="O4">
            <v>0.25</v>
          </cell>
        </row>
        <row r="5">
          <cell r="A5" t="str">
            <v>TES</v>
          </cell>
          <cell r="B5">
            <v>30</v>
          </cell>
          <cell r="C5">
            <v>21.690297999999999</v>
          </cell>
          <cell r="D5">
            <v>35.424909999999997</v>
          </cell>
          <cell r="E5">
            <v>35.424909999999997</v>
          </cell>
          <cell r="F5">
            <v>8.3090877999999993E-2</v>
          </cell>
          <cell r="G5">
            <v>6.6077234999999998E-2</v>
          </cell>
          <cell r="H5">
            <v>93.36</v>
          </cell>
          <cell r="I5">
            <v>0.11220010400000001</v>
          </cell>
          <cell r="J5">
            <v>5.9946939908153071E-2</v>
          </cell>
          <cell r="K5">
            <v>0.1068518</v>
          </cell>
          <cell r="L5">
            <v>0.41564384798807541</v>
          </cell>
          <cell r="M5">
            <v>0.82142999999999999</v>
          </cell>
          <cell r="N5">
            <v>0.93463999999999992</v>
          </cell>
          <cell r="O5">
            <v>0.25</v>
          </cell>
        </row>
        <row r="6">
          <cell r="A6" t="str">
            <v>TBA</v>
          </cell>
          <cell r="B6">
            <v>30</v>
          </cell>
          <cell r="C6">
            <v>21.690297999999999</v>
          </cell>
          <cell r="D6">
            <v>36.428905</v>
          </cell>
          <cell r="E6">
            <v>36.428905</v>
          </cell>
          <cell r="F6">
            <v>8.3525370000000002E-2</v>
          </cell>
          <cell r="G6">
            <v>6.4225035E-2</v>
          </cell>
          <cell r="H6">
            <v>93.36</v>
          </cell>
          <cell r="I6">
            <v>0.11220010400000001</v>
          </cell>
          <cell r="J6">
            <v>5.7143860392678859E-2</v>
          </cell>
          <cell r="K6">
            <v>8.7435628000000001E-2</v>
          </cell>
          <cell r="L6">
            <v>0.40271188766873506</v>
          </cell>
          <cell r="M6">
            <v>0.82142999999999999</v>
          </cell>
          <cell r="N6">
            <v>0.93463999999999992</v>
          </cell>
          <cell r="O6">
            <v>0.27</v>
          </cell>
        </row>
        <row r="7">
          <cell r="A7" t="str">
            <v>TSE</v>
          </cell>
          <cell r="B7">
            <v>30</v>
          </cell>
          <cell r="C7">
            <v>21.690297999999999</v>
          </cell>
          <cell r="D7">
            <v>34.780369999999998</v>
          </cell>
          <cell r="E7">
            <v>34.780369999999998</v>
          </cell>
          <cell r="F7">
            <v>8.1215701999999987E-2</v>
          </cell>
          <cell r="G7">
            <v>6.4225035E-2</v>
          </cell>
          <cell r="H7">
            <v>93.36</v>
          </cell>
          <cell r="I7">
            <v>0.10437192399999999</v>
          </cell>
          <cell r="J7">
            <v>5.6115703813643919E-2</v>
          </cell>
          <cell r="K7">
            <v>9.2041112000000008E-2</v>
          </cell>
          <cell r="L7">
            <v>0.40417295006121812</v>
          </cell>
          <cell r="M7">
            <v>0.82142999999999999</v>
          </cell>
          <cell r="N7">
            <v>0.93463999999999992</v>
          </cell>
          <cell r="O7">
            <v>0.27</v>
          </cell>
        </row>
        <row r="8">
          <cell r="A8" t="str">
            <v>TAL</v>
          </cell>
          <cell r="B8">
            <v>30</v>
          </cell>
          <cell r="C8">
            <v>21.690297999999999</v>
          </cell>
          <cell r="D8">
            <v>35.164615000000005</v>
          </cell>
          <cell r="E8">
            <v>35.164615000000005</v>
          </cell>
          <cell r="F8">
            <v>8.2347667999999999E-2</v>
          </cell>
          <cell r="G8">
            <v>6.6077234999999998E-2</v>
          </cell>
          <cell r="H8">
            <v>93.36</v>
          </cell>
          <cell r="I8">
            <v>0.11220010400000001</v>
          </cell>
          <cell r="J8">
            <v>6.0531365753078201E-2</v>
          </cell>
          <cell r="K8">
            <v>0.1048519</v>
          </cell>
          <cell r="L8">
            <v>0.40605697060188456</v>
          </cell>
          <cell r="M8">
            <v>0.82142999999999999</v>
          </cell>
          <cell r="N8">
            <v>0.93463999999999992</v>
          </cell>
          <cell r="O8">
            <v>0.25</v>
          </cell>
        </row>
        <row r="9">
          <cell r="A9" t="str">
            <v>TPE</v>
          </cell>
          <cell r="B9">
            <v>30</v>
          </cell>
          <cell r="C9">
            <v>21.690297999999999</v>
          </cell>
          <cell r="D9">
            <v>36.453695000000003</v>
          </cell>
          <cell r="E9">
            <v>36.453695000000003</v>
          </cell>
          <cell r="F9">
            <v>8.3079444000000002E-2</v>
          </cell>
          <cell r="G9">
            <v>6.3298935000000001E-2</v>
          </cell>
          <cell r="H9">
            <v>93.36</v>
          </cell>
          <cell r="I9">
            <v>0.11220010400000001</v>
          </cell>
          <cell r="J9">
            <v>5.4340780877204654E-2</v>
          </cell>
          <cell r="K9">
            <v>8.7904176000000001E-2</v>
          </cell>
          <cell r="L9">
            <v>0.40526824180145232</v>
          </cell>
          <cell r="M9">
            <v>0.82142999999999999</v>
          </cell>
          <cell r="N9">
            <v>0.93463999999999992</v>
          </cell>
          <cell r="O9">
            <v>0.28000000000000003</v>
          </cell>
        </row>
        <row r="10">
          <cell r="A10" t="str">
            <v>TPB</v>
          </cell>
          <cell r="B10">
            <v>30</v>
          </cell>
          <cell r="C10">
            <v>21.690297999999999</v>
          </cell>
          <cell r="D10">
            <v>31.892335000000003</v>
          </cell>
          <cell r="E10">
            <v>31.892335000000003</v>
          </cell>
          <cell r="F10">
            <v>8.1238569999999996E-2</v>
          </cell>
          <cell r="G10">
            <v>6.6077234999999998E-2</v>
          </cell>
          <cell r="H10">
            <v>93.36</v>
          </cell>
          <cell r="I10">
            <v>0.11220010400000001</v>
          </cell>
          <cell r="J10">
            <v>5.9503209174043253E-2</v>
          </cell>
          <cell r="K10">
            <v>8.8212732000000002E-2</v>
          </cell>
          <cell r="L10">
            <v>0.40602604031219403</v>
          </cell>
          <cell r="M10">
            <v>0.82142999999999999</v>
          </cell>
          <cell r="N10">
            <v>0.93463999999999992</v>
          </cell>
          <cell r="O10">
            <v>0.25</v>
          </cell>
        </row>
        <row r="11">
          <cell r="A11" t="str">
            <v>TRN</v>
          </cell>
          <cell r="B11">
            <v>30</v>
          </cell>
          <cell r="C11">
            <v>21.690297999999999</v>
          </cell>
          <cell r="D11">
            <v>35.053060000000002</v>
          </cell>
          <cell r="E11">
            <v>35.053060000000002</v>
          </cell>
          <cell r="F11">
            <v>8.2816461999999993E-2</v>
          </cell>
          <cell r="G11">
            <v>6.6077234999999998E-2</v>
          </cell>
          <cell r="H11">
            <v>93.36</v>
          </cell>
          <cell r="I11">
            <v>0.11220010400000001</v>
          </cell>
          <cell r="J11">
            <v>5.9503209174043253E-2</v>
          </cell>
          <cell r="K11">
            <v>8.9275536000000003E-2</v>
          </cell>
          <cell r="L11">
            <v>0.40595430791869308</v>
          </cell>
          <cell r="M11">
            <v>0.82142999999999999</v>
          </cell>
          <cell r="N11">
            <v>0.93463999999999992</v>
          </cell>
          <cell r="O11">
            <v>0.25</v>
          </cell>
        </row>
        <row r="12">
          <cell r="A12" t="str">
            <v>TCE</v>
          </cell>
          <cell r="B12">
            <v>30</v>
          </cell>
          <cell r="C12">
            <v>21.690297999999999</v>
          </cell>
          <cell r="D12">
            <v>36.701594999999998</v>
          </cell>
          <cell r="E12">
            <v>36.701594999999998</v>
          </cell>
          <cell r="F12">
            <v>8.3559672000000002E-2</v>
          </cell>
          <cell r="G12">
            <v>6.6077234999999998E-2</v>
          </cell>
          <cell r="H12">
            <v>93.36</v>
          </cell>
          <cell r="I12">
            <v>0.11220010400000001</v>
          </cell>
          <cell r="J12">
            <v>5.1970609395008312E-2</v>
          </cell>
          <cell r="K12">
            <v>8.7904176000000001E-2</v>
          </cell>
          <cell r="L12">
            <v>0.40456428667720706</v>
          </cell>
          <cell r="M12">
            <v>0.82142999999999999</v>
          </cell>
          <cell r="N12">
            <v>0.93463999999999992</v>
          </cell>
          <cell r="O12">
            <v>0.25</v>
          </cell>
        </row>
        <row r="13">
          <cell r="A13" t="str">
            <v>TPI</v>
          </cell>
          <cell r="B13">
            <v>30</v>
          </cell>
          <cell r="C13">
            <v>21.690297999999999</v>
          </cell>
          <cell r="D13">
            <v>32.177420000000005</v>
          </cell>
          <cell r="E13">
            <v>32.177420000000005</v>
          </cell>
          <cell r="F13">
            <v>8.1673061999999991E-2</v>
          </cell>
          <cell r="G13">
            <v>6.6077234999999998E-2</v>
          </cell>
          <cell r="H13">
            <v>93.36</v>
          </cell>
          <cell r="I13">
            <v>0.11220010400000001</v>
          </cell>
          <cell r="J13">
            <v>5.5953363301164724E-2</v>
          </cell>
          <cell r="K13">
            <v>0.10530902</v>
          </cell>
          <cell r="L13">
            <v>0.40563743218708737</v>
          </cell>
          <cell r="M13">
            <v>0.82142999999999999</v>
          </cell>
          <cell r="N13">
            <v>0.93463999999999992</v>
          </cell>
          <cell r="O13">
            <v>0.25</v>
          </cell>
        </row>
        <row r="14">
          <cell r="A14" t="str">
            <v>TMA</v>
          </cell>
          <cell r="B14">
            <v>30</v>
          </cell>
          <cell r="C14">
            <v>21.690297999999999</v>
          </cell>
          <cell r="D14">
            <v>33.664819999999999</v>
          </cell>
          <cell r="E14">
            <v>33.664819999999999</v>
          </cell>
          <cell r="F14">
            <v>8.3914125999999992E-2</v>
          </cell>
          <cell r="G14">
            <v>6.6077234999999998E-2</v>
          </cell>
          <cell r="H14">
            <v>93.36</v>
          </cell>
          <cell r="I14">
            <v>0.11220010400000001</v>
          </cell>
          <cell r="J14">
            <v>5.4340780877204654E-2</v>
          </cell>
          <cell r="K14">
            <v>8.7904176000000001E-2</v>
          </cell>
          <cell r="L14">
            <v>0.40766520111179416</v>
          </cell>
          <cell r="M14">
            <v>0.82142999999999999</v>
          </cell>
          <cell r="N14">
            <v>0.93463999999999992</v>
          </cell>
          <cell r="O14">
            <v>0.25</v>
          </cell>
        </row>
        <row r="15">
          <cell r="A15" t="str">
            <v>TPA</v>
          </cell>
          <cell r="B15">
            <v>30</v>
          </cell>
          <cell r="C15">
            <v>21.690297999999999</v>
          </cell>
          <cell r="D15">
            <v>36.143819999999998</v>
          </cell>
          <cell r="E15">
            <v>36.143819999999998</v>
          </cell>
          <cell r="F15">
            <v>8.4211409999999987E-2</v>
          </cell>
          <cell r="G15">
            <v>6.1446734999999995E-2</v>
          </cell>
          <cell r="H15">
            <v>93.36</v>
          </cell>
          <cell r="I15">
            <v>0.11220010400000001</v>
          </cell>
          <cell r="J15">
            <v>5.2728198453244585E-2</v>
          </cell>
          <cell r="K15">
            <v>9.7069432000000011E-2</v>
          </cell>
          <cell r="L15">
            <v>0.4063584411935976</v>
          </cell>
          <cell r="M15">
            <v>0.82142999999999999</v>
          </cell>
          <cell r="N15">
            <v>0.93463999999999992</v>
          </cell>
          <cell r="O15">
            <v>0.3</v>
          </cell>
        </row>
        <row r="16">
          <cell r="A16" t="str">
            <v>TAP</v>
          </cell>
          <cell r="B16">
            <v>30</v>
          </cell>
          <cell r="C16">
            <v>21.690297999999999</v>
          </cell>
          <cell r="D16">
            <v>32.834355000000002</v>
          </cell>
          <cell r="E16">
            <v>32.834355000000002</v>
          </cell>
          <cell r="F16">
            <v>8.4074202000000001E-2</v>
          </cell>
          <cell r="G16">
            <v>6.6077234999999998E-2</v>
          </cell>
          <cell r="H16">
            <v>93.36</v>
          </cell>
          <cell r="I16">
            <v>0.11220010400000001</v>
          </cell>
          <cell r="J16">
            <v>5.5953363301164724E-2</v>
          </cell>
          <cell r="K16">
            <v>9.2041112000000008E-2</v>
          </cell>
          <cell r="L16">
            <v>0.41004101509915114</v>
          </cell>
          <cell r="M16">
            <v>0.82142999999999999</v>
          </cell>
          <cell r="N16">
            <v>0.93463999999999992</v>
          </cell>
          <cell r="O16">
            <v>0.25</v>
          </cell>
        </row>
        <row r="17">
          <cell r="A17" t="str">
            <v>TAM</v>
          </cell>
          <cell r="B17">
            <v>30</v>
          </cell>
          <cell r="C17">
            <v>21.690297999999999</v>
          </cell>
          <cell r="D17">
            <v>35.809155000000004</v>
          </cell>
          <cell r="E17">
            <v>35.809155000000004</v>
          </cell>
          <cell r="F17">
            <v>8.3811220000000006E-2</v>
          </cell>
          <cell r="G17">
            <v>6.6077234999999998E-2</v>
          </cell>
          <cell r="H17">
            <v>93.36</v>
          </cell>
          <cell r="I17">
            <v>0.11220010400000001</v>
          </cell>
          <cell r="J17">
            <v>6.0531365753078201E-2</v>
          </cell>
          <cell r="K17">
            <v>0.10623468800000001</v>
          </cell>
          <cell r="L17">
            <v>0.41048933063796972</v>
          </cell>
          <cell r="M17">
            <v>0.82142999999999999</v>
          </cell>
          <cell r="N17">
            <v>0.93463999999999992</v>
          </cell>
          <cell r="O17">
            <v>0.25</v>
          </cell>
        </row>
        <row r="18">
          <cell r="A18" t="str">
            <v>TRR</v>
          </cell>
          <cell r="B18">
            <v>30</v>
          </cell>
          <cell r="C18">
            <v>21.690297999999999</v>
          </cell>
          <cell r="D18">
            <v>33.528475</v>
          </cell>
          <cell r="E18">
            <v>33.528475</v>
          </cell>
          <cell r="F18">
            <v>8.2347667999999999E-2</v>
          </cell>
          <cell r="G18">
            <v>6.6077234999999998E-2</v>
          </cell>
          <cell r="H18">
            <v>93.36</v>
          </cell>
          <cell r="I18">
            <v>0.10437192399999999</v>
          </cell>
          <cell r="J18">
            <v>5.5953363301164724E-2</v>
          </cell>
          <cell r="K18">
            <v>0.1068518</v>
          </cell>
          <cell r="L18">
            <v>0.41036836035493007</v>
          </cell>
          <cell r="M18">
            <v>0.82142999999999999</v>
          </cell>
          <cell r="N18">
            <v>0.93463999999999992</v>
          </cell>
          <cell r="O18">
            <v>0.25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</sheetNames>
    <sheetDataSet>
      <sheetData sheetId="0" refreshError="1"/>
      <sheetData sheetId="1" refreshError="1">
        <row r="1">
          <cell r="A1" t="str">
            <v>F A I X A    H O R Á R I A</v>
          </cell>
        </row>
      </sheetData>
      <sheetData sheetId="2" refreshError="1"/>
      <sheetData sheetId="3" refreshError="1">
        <row r="2">
          <cell r="I2" t="str">
            <v>Jan.´01</v>
          </cell>
        </row>
        <row r="3">
          <cell r="I3" t="str">
            <v xml:space="preserve"> Jan. a Fev.´01</v>
          </cell>
        </row>
        <row r="4">
          <cell r="I4" t="str">
            <v>Jan. a Mar.´01</v>
          </cell>
          <cell r="Q4" t="str">
            <v>SP 1 - SÃO PAULO</v>
          </cell>
        </row>
        <row r="5">
          <cell r="I5" t="str">
            <v>Jan. a Abr.´01</v>
          </cell>
          <cell r="Q5" t="str">
            <v>RJ - RIO DE JANEIRO</v>
          </cell>
        </row>
        <row r="6">
          <cell r="I6" t="str">
            <v>Jan. a Mai.´01</v>
          </cell>
          <cell r="Q6" t="str">
            <v>BH - BELO HORIZONTE</v>
          </cell>
        </row>
        <row r="7">
          <cell r="I7" t="str">
            <v xml:space="preserve"> Jan. a Jun.´01</v>
          </cell>
          <cell r="Q7" t="str">
            <v>REC - RECIFE</v>
          </cell>
        </row>
        <row r="8">
          <cell r="I8" t="str">
            <v>Jan. a Jul.´01</v>
          </cell>
          <cell r="Q8" t="str">
            <v>DF - BRASÍLIA</v>
          </cell>
        </row>
        <row r="9">
          <cell r="I9" t="str">
            <v>Jan. a Ago.´01</v>
          </cell>
          <cell r="Q9" t="str">
            <v>SAL - SALVADOR</v>
          </cell>
        </row>
        <row r="10">
          <cell r="I10" t="str">
            <v>Jan. a Set.´01</v>
          </cell>
          <cell r="Q10" t="str">
            <v>CUR - CURITIBA</v>
          </cell>
        </row>
        <row r="11">
          <cell r="I11" t="str">
            <v>Jan. a Out.´01</v>
          </cell>
          <cell r="Q11" t="str">
            <v>POA - PORTO ALEGRE</v>
          </cell>
        </row>
        <row r="12">
          <cell r="I12" t="str">
            <v>Jan. a Nov.´01</v>
          </cell>
          <cell r="Q12" t="str">
            <v>FLORIANÓPOLIS</v>
          </cell>
        </row>
        <row r="13">
          <cell r="I13" t="str">
            <v>Jan. a Dez.´01</v>
          </cell>
          <cell r="Q13" t="str">
            <v>FORTALEZA</v>
          </cell>
        </row>
        <row r="14">
          <cell r="Q14" t="str">
            <v>PNT - PAINEL NACIONAL DE TELEVISÃO</v>
          </cell>
        </row>
        <row r="17">
          <cell r="I17" t="str">
            <v>FX. HORARIA 18 A 22</v>
          </cell>
        </row>
        <row r="18">
          <cell r="I18" t="str">
            <v>FX. HORARIA 18 A 24</v>
          </cell>
        </row>
        <row r="19">
          <cell r="I19" t="str">
            <v>FX. HORARIA 20 A 24</v>
          </cell>
        </row>
        <row r="22">
          <cell r="I22" t="str">
            <v>FX. HORARIA 07/12</v>
          </cell>
        </row>
        <row r="23">
          <cell r="I23" t="str">
            <v>FX. HORARIA 12/18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D10">
            <v>5</v>
          </cell>
          <cell r="F10">
            <v>1.7</v>
          </cell>
          <cell r="G10">
            <v>102172.75</v>
          </cell>
          <cell r="H10">
            <v>27308.85</v>
          </cell>
          <cell r="I10">
            <v>3.0047150536713558</v>
          </cell>
          <cell r="J10">
            <v>61.4</v>
          </cell>
          <cell r="K10">
            <v>307</v>
          </cell>
          <cell r="L10">
            <v>30</v>
          </cell>
          <cell r="M10">
            <v>40</v>
          </cell>
          <cell r="P10">
            <v>27</v>
          </cell>
          <cell r="Q10">
            <v>34</v>
          </cell>
          <cell r="R10">
            <v>39</v>
          </cell>
        </row>
        <row r="11">
          <cell r="C11" t="str">
            <v>12:00 / 17:59</v>
          </cell>
          <cell r="D11">
            <v>10</v>
          </cell>
          <cell r="F11">
            <v>1.7</v>
          </cell>
          <cell r="G11">
            <v>204345.5</v>
          </cell>
          <cell r="H11">
            <v>54617.7</v>
          </cell>
          <cell r="I11">
            <v>2.0064058175981363</v>
          </cell>
          <cell r="J11">
            <v>41</v>
          </cell>
          <cell r="K11">
            <v>410</v>
          </cell>
          <cell r="L11">
            <v>31</v>
          </cell>
          <cell r="M11">
            <v>49</v>
          </cell>
          <cell r="P11">
            <v>29</v>
          </cell>
          <cell r="Q11">
            <v>33</v>
          </cell>
          <cell r="R11">
            <v>38</v>
          </cell>
        </row>
        <row r="12">
          <cell r="C12" t="str">
            <v>18:00 / 23:59</v>
          </cell>
          <cell r="D12">
            <v>24</v>
          </cell>
          <cell r="F12">
            <v>2.1</v>
          </cell>
          <cell r="G12">
            <v>490429.2</v>
          </cell>
          <cell r="H12">
            <v>131082.48000000001</v>
          </cell>
          <cell r="I12">
            <v>0.41800121199961177</v>
          </cell>
          <cell r="K12">
            <v>205</v>
          </cell>
          <cell r="L12">
            <v>33</v>
          </cell>
          <cell r="M12">
            <v>47</v>
          </cell>
          <cell r="P12">
            <v>34</v>
          </cell>
          <cell r="Q12">
            <v>34</v>
          </cell>
          <cell r="R12">
            <v>32</v>
          </cell>
        </row>
        <row r="13">
          <cell r="C13" t="str">
            <v>07:00 / 11:59</v>
          </cell>
          <cell r="D13">
            <v>2</v>
          </cell>
          <cell r="F13">
            <v>1.6</v>
          </cell>
          <cell r="G13">
            <v>40869.1</v>
          </cell>
          <cell r="H13">
            <v>10923.54</v>
          </cell>
          <cell r="I13">
            <v>7.5117876341783889</v>
          </cell>
          <cell r="J13">
            <v>153.5</v>
          </cell>
          <cell r="K13">
            <v>307</v>
          </cell>
          <cell r="L13">
            <v>22</v>
          </cell>
          <cell r="M13">
            <v>26</v>
          </cell>
          <cell r="P13">
            <v>29</v>
          </cell>
          <cell r="Q13">
            <v>38</v>
          </cell>
          <cell r="R13">
            <v>33</v>
          </cell>
        </row>
        <row r="14">
          <cell r="C14" t="str">
            <v>12:00 / 17:59</v>
          </cell>
          <cell r="D14">
            <v>4</v>
          </cell>
          <cell r="F14">
            <v>1.7</v>
          </cell>
          <cell r="G14">
            <v>81738.2</v>
          </cell>
          <cell r="H14">
            <v>21847.08</v>
          </cell>
          <cell r="I14">
            <v>5.0160145439953414</v>
          </cell>
          <cell r="J14">
            <v>102.5</v>
          </cell>
          <cell r="K14">
            <v>410</v>
          </cell>
          <cell r="L14">
            <v>28</v>
          </cell>
          <cell r="M14">
            <v>38</v>
          </cell>
          <cell r="P14">
            <v>26</v>
          </cell>
          <cell r="Q14">
            <v>36</v>
          </cell>
          <cell r="R14">
            <v>38</v>
          </cell>
        </row>
        <row r="15">
          <cell r="C15" t="str">
            <v>18:00 / 23:59</v>
          </cell>
          <cell r="D15">
            <v>5</v>
          </cell>
          <cell r="F15">
            <v>1.8</v>
          </cell>
          <cell r="G15">
            <v>102172.75</v>
          </cell>
          <cell r="H15">
            <v>27308.85</v>
          </cell>
          <cell r="I15">
            <v>2.0064058175981363</v>
          </cell>
          <cell r="K15">
            <v>205</v>
          </cell>
          <cell r="L15">
            <v>27</v>
          </cell>
          <cell r="M15">
            <v>36</v>
          </cell>
          <cell r="P15">
            <v>28</v>
          </cell>
          <cell r="Q15">
            <v>38</v>
          </cell>
          <cell r="R15">
            <v>34</v>
          </cell>
        </row>
        <row r="16">
          <cell r="C16" t="str">
            <v>07:00 / 11:59</v>
          </cell>
          <cell r="D16">
            <v>1</v>
          </cell>
          <cell r="F16">
            <v>1.6</v>
          </cell>
          <cell r="G16">
            <v>20434.55</v>
          </cell>
          <cell r="H16">
            <v>5461.77</v>
          </cell>
          <cell r="I16">
            <v>15.023575268356778</v>
          </cell>
          <cell r="J16">
            <v>307</v>
          </cell>
          <cell r="K16">
            <v>307</v>
          </cell>
          <cell r="L16">
            <v>16</v>
          </cell>
          <cell r="M16">
            <v>39</v>
          </cell>
          <cell r="P16">
            <v>44</v>
          </cell>
          <cell r="Q16">
            <v>23</v>
          </cell>
          <cell r="R16">
            <v>33</v>
          </cell>
        </row>
        <row r="17">
          <cell r="C17" t="str">
            <v>12:00 / 17:59</v>
          </cell>
          <cell r="D17">
            <v>1</v>
          </cell>
          <cell r="F17">
            <v>1.5</v>
          </cell>
          <cell r="G17">
            <v>20434.55</v>
          </cell>
          <cell r="H17">
            <v>5461.77</v>
          </cell>
          <cell r="I17">
            <v>20.064058175981366</v>
          </cell>
          <cell r="J17">
            <v>410</v>
          </cell>
          <cell r="K17">
            <v>410</v>
          </cell>
          <cell r="L17">
            <v>19</v>
          </cell>
          <cell r="M17">
            <v>53</v>
          </cell>
          <cell r="P17">
            <v>29</v>
          </cell>
          <cell r="Q17">
            <v>38</v>
          </cell>
          <cell r="R17">
            <v>33</v>
          </cell>
        </row>
        <row r="18">
          <cell r="C18" t="str">
            <v>18:00 / 23:59</v>
          </cell>
          <cell r="D18">
            <v>1</v>
          </cell>
          <cell r="F18">
            <v>1.5</v>
          </cell>
          <cell r="G18">
            <v>20434.55</v>
          </cell>
          <cell r="H18">
            <v>5461.77</v>
          </cell>
          <cell r="I18">
            <v>10.032029087990683</v>
          </cell>
          <cell r="K18">
            <v>205</v>
          </cell>
          <cell r="L18">
            <v>32</v>
          </cell>
          <cell r="M18">
            <v>50</v>
          </cell>
          <cell r="P18">
            <v>22</v>
          </cell>
          <cell r="Q18">
            <v>44</v>
          </cell>
          <cell r="R18">
            <v>34</v>
          </cell>
        </row>
        <row r="19">
          <cell r="C19" t="str">
            <v>07:00 / 11:59</v>
          </cell>
          <cell r="D19" t="str">
            <v>*</v>
          </cell>
          <cell r="F19">
            <v>1.1000000000000001</v>
          </cell>
          <cell r="G19" t="str">
            <v>-</v>
          </cell>
          <cell r="H19" t="e">
            <v>#VALUE!</v>
          </cell>
          <cell r="I19" t="e">
            <v>#VALUE!</v>
          </cell>
          <cell r="J19" t="e">
            <v>#VALUE!</v>
          </cell>
          <cell r="K19">
            <v>307</v>
          </cell>
          <cell r="L19">
            <v>31</v>
          </cell>
          <cell r="M19">
            <v>62</v>
          </cell>
          <cell r="P19">
            <v>46</v>
          </cell>
          <cell r="Q19">
            <v>30</v>
          </cell>
          <cell r="R19">
            <v>24</v>
          </cell>
        </row>
        <row r="20">
          <cell r="C20" t="str">
            <v>12:00 / 17:59</v>
          </cell>
          <cell r="D20" t="str">
            <v>*</v>
          </cell>
          <cell r="F20">
            <v>1.3</v>
          </cell>
          <cell r="G20" t="str">
            <v>-</v>
          </cell>
          <cell r="H20" t="e">
            <v>#VALUE!</v>
          </cell>
          <cell r="I20" t="e">
            <v>#VALUE!</v>
          </cell>
          <cell r="J20" t="e">
            <v>#VALUE!</v>
          </cell>
          <cell r="K20">
            <v>410</v>
          </cell>
          <cell r="L20">
            <v>47</v>
          </cell>
          <cell r="M20">
            <v>38</v>
          </cell>
          <cell r="P20">
            <v>23</v>
          </cell>
          <cell r="Q20">
            <v>17</v>
          </cell>
          <cell r="R20">
            <v>60</v>
          </cell>
        </row>
        <row r="21">
          <cell r="C21" t="str">
            <v>18:00 / 23:59</v>
          </cell>
          <cell r="D21">
            <v>1</v>
          </cell>
          <cell r="F21">
            <v>1.5</v>
          </cell>
          <cell r="G21">
            <v>20434.55</v>
          </cell>
          <cell r="H21">
            <v>5461.77</v>
          </cell>
          <cell r="I21">
            <v>10.032029087990683</v>
          </cell>
          <cell r="K21">
            <v>205</v>
          </cell>
          <cell r="L21">
            <v>57</v>
          </cell>
          <cell r="M21">
            <v>31</v>
          </cell>
          <cell r="P21">
            <v>28</v>
          </cell>
          <cell r="Q21">
            <v>19</v>
          </cell>
          <cell r="R21">
            <v>53</v>
          </cell>
        </row>
        <row r="22">
          <cell r="C22" t="str">
            <v>07:00 / 11:59</v>
          </cell>
          <cell r="D22" t="str">
            <v>*</v>
          </cell>
          <cell r="F22">
            <v>1.2</v>
          </cell>
          <cell r="G22" t="str">
            <v>-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307</v>
          </cell>
          <cell r="L22">
            <v>33</v>
          </cell>
          <cell r="M22">
            <v>24</v>
          </cell>
          <cell r="P22">
            <v>20</v>
          </cell>
          <cell r="Q22">
            <v>16</v>
          </cell>
          <cell r="R22">
            <v>64</v>
          </cell>
        </row>
        <row r="23">
          <cell r="C23" t="str">
            <v>12:00 / 17:59</v>
          </cell>
          <cell r="D23" t="str">
            <v>*</v>
          </cell>
          <cell r="F23">
            <v>1.3</v>
          </cell>
          <cell r="G23" t="str">
            <v>-</v>
          </cell>
          <cell r="H23" t="e">
            <v>#VALUE!</v>
          </cell>
          <cell r="I23" t="e">
            <v>#VALUE!</v>
          </cell>
          <cell r="J23" t="e">
            <v>#VALUE!</v>
          </cell>
          <cell r="K23">
            <v>410</v>
          </cell>
          <cell r="L23">
            <v>38</v>
          </cell>
          <cell r="M23">
            <v>46</v>
          </cell>
          <cell r="P23">
            <v>32</v>
          </cell>
          <cell r="Q23">
            <v>28</v>
          </cell>
          <cell r="R23">
            <v>40</v>
          </cell>
        </row>
        <row r="24">
          <cell r="C24" t="str">
            <v>18:00 / 23:59</v>
          </cell>
          <cell r="D24" t="str">
            <v>*</v>
          </cell>
          <cell r="F24">
            <v>1.5</v>
          </cell>
          <cell r="G24" t="str">
            <v>-</v>
          </cell>
          <cell r="H24" t="e">
            <v>#VALUE!</v>
          </cell>
          <cell r="I24" t="e">
            <v>#VALUE!</v>
          </cell>
          <cell r="K24">
            <v>205</v>
          </cell>
          <cell r="L24">
            <v>43</v>
          </cell>
          <cell r="M24">
            <v>43</v>
          </cell>
          <cell r="P24">
            <v>26</v>
          </cell>
          <cell r="Q24">
            <v>27</v>
          </cell>
          <cell r="R24">
            <v>47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Resumo_Cobertura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</sheetData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  <sheetName val="Revisado"/>
      <sheetName val="RecLiqServ2000"/>
      <sheetName val="capa"/>
      <sheetName val="SispecPSAP"/>
      <sheetName val="MODELO"/>
      <sheetName val="Descritivo Fraturas Centro"/>
      <sheetName val="V&amp;V-TDDI-21040"/>
      <sheetName val="V&amp;V-PS-SCMT-21040"/>
      <sheetName val="Ano2001"/>
      <sheetName val="Consolida Investi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  <row r="65473">
          <cell r="A65473">
            <v>0</v>
          </cell>
          <cell r="B65473">
            <v>0</v>
          </cell>
          <cell r="C65473">
            <v>0</v>
          </cell>
          <cell r="D65473">
            <v>0</v>
          </cell>
          <cell r="E65473">
            <v>0</v>
          </cell>
          <cell r="F65473">
            <v>0</v>
          </cell>
          <cell r="G65473">
            <v>0</v>
          </cell>
          <cell r="H65473">
            <v>0</v>
          </cell>
          <cell r="I65473">
            <v>0</v>
          </cell>
          <cell r="J65473">
            <v>0</v>
          </cell>
          <cell r="K65473">
            <v>0</v>
          </cell>
          <cell r="L65473">
            <v>0</v>
          </cell>
          <cell r="M6547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  <sheetName val="Simu_POT"/>
      <sheetName val="Principal"/>
      <sheetName val="Simulador"/>
      <sheetName val="BadeR2000_TNL"/>
      <sheetName val="Ano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de Ganhos"/>
      <sheetName val="Resumo"/>
      <sheetName val="Definição da Cota"/>
      <sheetName val="Variável"/>
      <sheetName val="Plan2"/>
      <sheetName val="base dados"/>
      <sheetName val="FMPV 1 "/>
      <sheetName val="SispecPSAP"/>
    </sheetNames>
    <sheetDataSet>
      <sheetData sheetId="0" refreshError="1">
        <row r="7">
          <cell r="F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Sources_Uses"/>
      <sheetName val="1º Flight Programação"/>
      <sheetName val="Projeção de Ganhos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hare"/>
      <sheetName val="EBITDA Waterfall"/>
      <sheetName val="Apoio"/>
      <sheetName val="Metas PLR"/>
      <sheetName val="RESUMO"/>
      <sheetName val="Upside-Downside"/>
      <sheetName val="Revisão de Cenários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Definição da Cota"/>
      <sheetName val="Definição da Cota PÓS PONTO COM"/>
      <sheetName val="CONSOLIDADO"/>
      <sheetName val="Estudos da Cota"/>
      <sheetName val="Gráf7"/>
      <sheetName val="Cotas Euro"/>
      <sheetName val="BHZ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O20">
            <v>3</v>
          </cell>
        </row>
        <row r="21">
          <cell r="Q21">
            <v>0.04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6">
          <cell r="O26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O9">
            <v>0.06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>
            <v>1.1023040983578942</v>
          </cell>
        </row>
        <row r="3">
          <cell r="D3">
            <v>1.0532501180793536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FLOWCHART_02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_Técnica"/>
      <sheetName val="Ficha Técnica"/>
      <sheetName val="Resumo - Por Categoria"/>
      <sheetName val="Premissas Macro"/>
      <sheetName val="Public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VICTEL ($R)"/>
      <sheetName val="VICTEL_($R)"/>
      <sheetName val="FLOWCHART-02"/>
      <sheetName val="dHora"/>
      <sheetName val="MID"/>
      <sheetName val="mapa"/>
      <sheetName val="RATF0104"/>
      <sheetName val="MêsBase"/>
      <sheetName val="Sources_Uses"/>
      <sheetName val="1º Flight Programação"/>
      <sheetName val="Projeção de Ganhos"/>
    </sheetNames>
    <sheetDataSet>
      <sheetData sheetId="0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Tabela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 da planilha"/>
      <sheetName val="Menu_Marplan"/>
      <sheetName val="JN"/>
      <sheetName val="Textos"/>
      <sheetName val="Graficos -JN"/>
      <sheetName val="TAB"/>
      <sheetName val="GOL"/>
      <sheetName val="PATROCINIO"/>
      <sheetName val="menu"/>
      <sheetName val="MID"/>
      <sheetName val="mapa"/>
      <sheetName val="TABELA"/>
      <sheetName val="Ficha Técnica"/>
    </sheetNames>
    <definedNames>
      <definedName name="KITZELIA.KITZEL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dor de Cenários"/>
      <sheetName val="Plano de Ação"/>
      <sheetName val="To do"/>
      <sheetName val="Market Share"/>
      <sheetName val="Metas PLR"/>
      <sheetName val="Waterfalls"/>
      <sheetName val="Produtividade Comercial"/>
      <sheetName val="Análise SG&amp;A"/>
      <sheetName val="Gráficos Consolidados"/>
      <sheetName val="Resumo por Marca"/>
      <sheetName val="Resumo por TRI"/>
      <sheetName val="Representatividade por TRI"/>
      <sheetName val="DRE"/>
      <sheetName val="Balanço"/>
      <sheetName val="DFs Consolidadas"/>
      <sheetName val="Fluxo de Caixa"/>
      <sheetName val="Cotas"/>
      <sheetName val="RB por filial"/>
      <sheetName val="RB (FCT) (2010 &amp; 2011)"/>
      <sheetName val="Cobertura &amp; Recebimento"/>
      <sheetName val="Dados_Estoque"/>
      <sheetName val="Premissas - Macro"/>
      <sheetName val="Não-Recorrentes"/>
      <sheetName val="Capital Giro"/>
      <sheetName val="D &amp; A"/>
      <sheetName val="Investimentos"/>
      <sheetName val="Desp. e Rec. Financeiras"/>
      <sheetName val="IR e CSLL"/>
      <sheetName val="Provisão PLR"/>
      <sheetName val="Gráf2"/>
      <sheetName val="Fretes"/>
      <sheetName val="Aluguel"/>
      <sheetName val="Comissões e Prêmios"/>
      <sheetName val="Consultorias"/>
      <sheetName val="Comercial"/>
      <sheetName val="Marketing"/>
      <sheetName val="Marketing (2)"/>
      <sheetName val="Adm-CA"/>
      <sheetName val="Adm-CA (2)"/>
      <sheetName val="Adm-MAO"/>
      <sheetName val="Adm-China"/>
      <sheetName val="Adm-Filiais"/>
      <sheetName val="Adm-Holding"/>
      <sheetName val="Manaus"/>
      <sheetName val="AssTec"/>
      <sheetName val="SG&amp;A - Deptos"/>
      <sheetName val="Informações"/>
      <sheetName val="Headcount"/>
      <sheetName val="Headcount (2)"/>
      <sheetName val="HC - Deptos"/>
      <sheetName val="China"/>
      <sheetName val="HC - Deptos (2)"/>
      <sheetName val="Gráf1"/>
      <sheetName val="RB (ORÇ) (2010 &amp; 2011)"/>
    </sheetNames>
    <sheetDataSet>
      <sheetData sheetId="0">
        <row r="2">
          <cell r="C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1260.5522033396987</v>
          </cell>
        </row>
      </sheetData>
      <sheetData sheetId="10">
        <row r="40">
          <cell r="AR40">
            <v>9902.2223132107974</v>
          </cell>
        </row>
      </sheetData>
      <sheetData sheetId="11"/>
      <sheetData sheetId="12">
        <row r="1">
          <cell r="AD1">
            <v>1</v>
          </cell>
        </row>
      </sheetData>
      <sheetData sheetId="13">
        <row r="6">
          <cell r="P6">
            <v>7246</v>
          </cell>
        </row>
      </sheetData>
      <sheetData sheetId="14"/>
      <sheetData sheetId="15"/>
      <sheetData sheetId="16"/>
      <sheetData sheetId="17">
        <row r="118">
          <cell r="B118" t="str">
            <v>BAN</v>
          </cell>
        </row>
      </sheetData>
      <sheetData sheetId="18">
        <row r="5">
          <cell r="P5">
            <v>2916.181</v>
          </cell>
        </row>
      </sheetData>
      <sheetData sheetId="19">
        <row r="5">
          <cell r="P5">
            <v>2916.181</v>
          </cell>
        </row>
      </sheetData>
      <sheetData sheetId="20"/>
      <sheetData sheetId="21">
        <row r="9">
          <cell r="D9">
            <v>6.4899999999999999E-2</v>
          </cell>
        </row>
      </sheetData>
      <sheetData sheetId="22"/>
      <sheetData sheetId="23">
        <row r="4">
          <cell r="O4">
            <v>111673</v>
          </cell>
        </row>
      </sheetData>
      <sheetData sheetId="24">
        <row r="32">
          <cell r="AA32">
            <v>-185.84402607406764</v>
          </cell>
        </row>
      </sheetData>
      <sheetData sheetId="25">
        <row r="5">
          <cell r="AA5">
            <v>865.67767616722324</v>
          </cell>
        </row>
      </sheetData>
      <sheetData sheetId="26"/>
      <sheetData sheetId="27"/>
      <sheetData sheetId="28"/>
      <sheetData sheetId="29" refreshError="1"/>
      <sheetData sheetId="30">
        <row r="20">
          <cell r="AC20">
            <v>615.39190978352678</v>
          </cell>
        </row>
      </sheetData>
      <sheetData sheetId="31">
        <row r="6">
          <cell r="AB6">
            <v>133.5</v>
          </cell>
        </row>
      </sheetData>
      <sheetData sheetId="32">
        <row r="19">
          <cell r="AC19">
            <v>186000</v>
          </cell>
        </row>
      </sheetData>
      <sheetData sheetId="33">
        <row r="4">
          <cell r="E4">
            <v>1200000</v>
          </cell>
        </row>
      </sheetData>
      <sheetData sheetId="34">
        <row r="6">
          <cell r="AB6">
            <v>768.55024697845511</v>
          </cell>
        </row>
      </sheetData>
      <sheetData sheetId="35">
        <row r="6">
          <cell r="AB6">
            <v>142.0859609</v>
          </cell>
        </row>
      </sheetData>
      <sheetData sheetId="36">
        <row r="6">
          <cell r="AB6">
            <v>232.44818179999999</v>
          </cell>
        </row>
      </sheetData>
      <sheetData sheetId="37">
        <row r="6">
          <cell r="AB6">
            <v>342.23541570000003</v>
          </cell>
        </row>
      </sheetData>
      <sheetData sheetId="38">
        <row r="6">
          <cell r="AB6">
            <v>251.87319479999996</v>
          </cell>
        </row>
      </sheetData>
      <sheetData sheetId="39">
        <row r="6">
          <cell r="Y6">
            <v>70.137999999999991</v>
          </cell>
        </row>
      </sheetData>
      <sheetData sheetId="40"/>
      <sheetData sheetId="41">
        <row r="6">
          <cell r="Y6">
            <v>70.137999999999991</v>
          </cell>
        </row>
      </sheetData>
      <sheetData sheetId="42">
        <row r="6">
          <cell r="Y6">
            <v>70.137999999999991</v>
          </cell>
        </row>
      </sheetData>
      <sheetData sheetId="43">
        <row r="6">
          <cell r="AB6">
            <v>220.90632620000002</v>
          </cell>
        </row>
      </sheetData>
      <sheetData sheetId="44">
        <row r="6">
          <cell r="AB6">
            <v>220.90632620000002</v>
          </cell>
        </row>
      </sheetData>
      <sheetData sheetId="45">
        <row r="6">
          <cell r="F6">
            <v>17</v>
          </cell>
        </row>
      </sheetData>
      <sheetData sheetId="46">
        <row r="9">
          <cell r="E9">
            <v>0</v>
          </cell>
        </row>
      </sheetData>
      <sheetData sheetId="47">
        <row r="5">
          <cell r="E5">
            <v>6</v>
          </cell>
        </row>
      </sheetData>
      <sheetData sheetId="48">
        <row r="5">
          <cell r="E5">
            <v>6</v>
          </cell>
        </row>
      </sheetData>
      <sheetData sheetId="49">
        <row r="6">
          <cell r="E6">
            <v>17</v>
          </cell>
        </row>
      </sheetData>
      <sheetData sheetId="50">
        <row r="45">
          <cell r="G45">
            <v>35626.603220342695</v>
          </cell>
        </row>
      </sheetData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88671875" customWidth="1"/>
    <col min="3" max="3" width="14.33203125" bestFit="1" customWidth="1"/>
    <col min="4" max="4" width="1.33203125" customWidth="1"/>
    <col min="5" max="5" width="14.88671875" customWidth="1"/>
    <col min="6" max="6" width="5.44140625" bestFit="1" customWidth="1"/>
    <col min="7" max="7" width="13.6640625" customWidth="1"/>
    <col min="8" max="8" width="2.5546875" customWidth="1"/>
    <col min="9" max="9" width="10.5546875" customWidth="1"/>
    <col min="10" max="10" width="11.109375" customWidth="1"/>
    <col min="11" max="11" width="47.44140625" bestFit="1" customWidth="1"/>
    <col min="12" max="12" width="13.88671875" bestFit="1" customWidth="1"/>
    <col min="13" max="13" width="2.33203125" customWidth="1"/>
    <col min="14" max="14" width="11.33203125" bestFit="1" customWidth="1"/>
    <col min="15" max="15" width="2" customWidth="1"/>
    <col min="16" max="16" width="13.88671875" bestFit="1" customWidth="1"/>
    <col min="17" max="17" width="1.6640625" customWidth="1"/>
    <col min="18" max="18" width="11.33203125" bestFit="1" customWidth="1"/>
    <col min="19" max="19" width="13.109375" customWidth="1"/>
  </cols>
  <sheetData>
    <row r="1" spans="1:23" ht="15" thickBot="1">
      <c r="A1" s="358"/>
      <c r="B1" s="358"/>
      <c r="C1" s="489" t="s">
        <v>264</v>
      </c>
      <c r="D1" s="489"/>
      <c r="E1" s="489"/>
      <c r="F1" s="358"/>
      <c r="G1" s="489" t="s">
        <v>265</v>
      </c>
      <c r="H1" s="489"/>
      <c r="I1" s="489"/>
      <c r="J1" s="361"/>
      <c r="K1" s="358"/>
      <c r="L1" s="489" t="s">
        <v>264</v>
      </c>
      <c r="M1" s="489"/>
      <c r="N1" s="489"/>
      <c r="O1" s="358"/>
      <c r="P1" s="489" t="s">
        <v>265</v>
      </c>
      <c r="Q1" s="489"/>
      <c r="R1" s="489"/>
      <c r="S1" s="362"/>
      <c r="T1" s="357"/>
      <c r="U1" s="357"/>
      <c r="V1" s="357"/>
      <c r="W1" s="357"/>
    </row>
    <row r="2" spans="1:23">
      <c r="A2" s="358"/>
      <c r="B2" s="358"/>
      <c r="C2" s="358"/>
      <c r="D2" s="363"/>
      <c r="E2" s="358"/>
      <c r="F2" s="358"/>
      <c r="G2" s="358"/>
      <c r="H2" s="363"/>
      <c r="I2" s="358"/>
      <c r="J2" s="361"/>
      <c r="K2" s="358"/>
      <c r="L2" s="358"/>
      <c r="M2" s="358"/>
      <c r="N2" s="358"/>
      <c r="O2" s="358"/>
      <c r="P2" s="358"/>
      <c r="Q2" s="364"/>
      <c r="R2" s="358"/>
      <c r="S2" s="364"/>
      <c r="T2" s="357"/>
      <c r="U2" s="357"/>
      <c r="V2" s="357"/>
      <c r="W2" s="357"/>
    </row>
    <row r="3" spans="1:23" ht="15" customHeight="1">
      <c r="A3" s="494" t="s">
        <v>30</v>
      </c>
      <c r="B3" s="492"/>
      <c r="C3" s="359" t="s">
        <v>400</v>
      </c>
      <c r="D3" s="492"/>
      <c r="E3" s="490" t="s">
        <v>292</v>
      </c>
      <c r="F3" s="492"/>
      <c r="G3" s="359" t="s">
        <v>400</v>
      </c>
      <c r="H3" s="492"/>
      <c r="I3" s="490" t="s">
        <v>292</v>
      </c>
      <c r="J3" s="493"/>
      <c r="K3" s="494" t="s">
        <v>39</v>
      </c>
      <c r="L3" s="359" t="s">
        <v>291</v>
      </c>
      <c r="M3" s="492"/>
      <c r="N3" s="490" t="s">
        <v>292</v>
      </c>
      <c r="O3" s="492"/>
      <c r="P3" s="359" t="s">
        <v>291</v>
      </c>
      <c r="Q3" s="492"/>
      <c r="R3" s="490" t="s">
        <v>292</v>
      </c>
      <c r="S3" s="495"/>
      <c r="T3" s="357"/>
      <c r="U3" s="357"/>
      <c r="V3" s="357"/>
      <c r="W3" s="357"/>
    </row>
    <row r="4" spans="1:23" ht="21" customHeight="1" thickBot="1">
      <c r="A4" s="494"/>
      <c r="B4" s="492"/>
      <c r="C4" s="360" t="s">
        <v>293</v>
      </c>
      <c r="D4" s="492"/>
      <c r="E4" s="491"/>
      <c r="F4" s="492"/>
      <c r="G4" s="360" t="s">
        <v>293</v>
      </c>
      <c r="H4" s="492"/>
      <c r="I4" s="491"/>
      <c r="J4" s="493"/>
      <c r="K4" s="494"/>
      <c r="L4" s="360" t="s">
        <v>293</v>
      </c>
      <c r="M4" s="492"/>
      <c r="N4" s="491"/>
      <c r="O4" s="492"/>
      <c r="P4" s="360" t="s">
        <v>293</v>
      </c>
      <c r="Q4" s="492"/>
      <c r="R4" s="491"/>
      <c r="S4" s="495"/>
      <c r="T4" s="357"/>
      <c r="U4" s="357"/>
      <c r="V4" s="357"/>
      <c r="W4" s="357"/>
    </row>
    <row r="5" spans="1:23">
      <c r="A5" s="358"/>
      <c r="B5" s="358"/>
      <c r="C5" s="358"/>
      <c r="D5" s="358"/>
      <c r="E5" s="358"/>
      <c r="F5" s="358"/>
      <c r="G5" s="358"/>
      <c r="H5" s="358"/>
      <c r="I5" s="358"/>
      <c r="J5" s="361"/>
      <c r="K5" s="358"/>
      <c r="L5" s="358"/>
      <c r="M5" s="358"/>
      <c r="N5" s="358"/>
      <c r="O5" s="358"/>
      <c r="P5" s="358"/>
      <c r="Q5" s="361"/>
      <c r="R5" s="358"/>
      <c r="S5" s="364"/>
      <c r="T5" s="357"/>
      <c r="U5" s="357"/>
      <c r="V5" s="357"/>
      <c r="W5" s="357"/>
    </row>
    <row r="6" spans="1:23">
      <c r="A6" s="358"/>
      <c r="B6" s="358"/>
      <c r="C6" s="358"/>
      <c r="D6" s="358"/>
      <c r="E6" s="358"/>
      <c r="F6" s="358"/>
      <c r="G6" s="358"/>
      <c r="H6" s="358"/>
      <c r="I6" s="358"/>
      <c r="J6" s="361"/>
      <c r="K6" s="358"/>
      <c r="L6" s="358"/>
      <c r="M6" s="358"/>
      <c r="N6" s="358"/>
      <c r="O6" s="358"/>
      <c r="P6" s="358"/>
      <c r="Q6" s="361"/>
      <c r="R6" s="358"/>
      <c r="S6" s="364"/>
      <c r="T6" s="357"/>
      <c r="U6" s="357"/>
      <c r="V6" s="357"/>
      <c r="W6" s="357"/>
    </row>
    <row r="7" spans="1:23">
      <c r="A7" s="363" t="s">
        <v>31</v>
      </c>
      <c r="B7" s="358"/>
      <c r="C7" s="358"/>
      <c r="D7" s="358"/>
      <c r="E7" s="358"/>
      <c r="F7" s="358"/>
      <c r="G7" s="358"/>
      <c r="H7" s="358"/>
      <c r="I7" s="358"/>
      <c r="J7" s="361"/>
      <c r="K7" s="363" t="s">
        <v>31</v>
      </c>
      <c r="L7" s="358"/>
      <c r="M7" s="358"/>
      <c r="N7" s="358"/>
      <c r="O7" s="358"/>
      <c r="P7" s="358"/>
      <c r="Q7" s="361"/>
      <c r="R7" s="358"/>
      <c r="S7" s="364"/>
      <c r="T7" s="357"/>
      <c r="U7" s="357"/>
      <c r="V7" s="357"/>
      <c r="W7" s="357"/>
    </row>
    <row r="8" spans="1:23">
      <c r="A8" s="363" t="s">
        <v>294</v>
      </c>
      <c r="B8" s="358"/>
      <c r="C8" s="365">
        <v>65</v>
      </c>
      <c r="D8" s="358"/>
      <c r="E8" s="365">
        <v>61</v>
      </c>
      <c r="F8" s="380">
        <v>-4</v>
      </c>
      <c r="G8" s="386">
        <v>27648</v>
      </c>
      <c r="H8" s="358"/>
      <c r="I8" s="365">
        <v>46343</v>
      </c>
      <c r="J8" s="382">
        <v>16954</v>
      </c>
      <c r="K8" s="376" t="s">
        <v>295</v>
      </c>
      <c r="L8" s="366"/>
      <c r="M8" s="363"/>
      <c r="N8" s="367"/>
      <c r="O8" s="381">
        <v>0</v>
      </c>
      <c r="P8" s="387">
        <v>36273</v>
      </c>
      <c r="Q8" s="361"/>
      <c r="R8" s="365">
        <v>84665</v>
      </c>
      <c r="S8" s="381">
        <v>-48392</v>
      </c>
      <c r="T8" s="357"/>
      <c r="U8" s="383">
        <v>48392</v>
      </c>
      <c r="V8" s="357"/>
      <c r="W8" s="357"/>
    </row>
    <row r="9" spans="1:23">
      <c r="A9" s="363" t="s">
        <v>296</v>
      </c>
      <c r="B9" s="358"/>
      <c r="C9" s="366"/>
      <c r="D9" s="358"/>
      <c r="E9" s="366"/>
      <c r="F9" s="380">
        <v>0</v>
      </c>
      <c r="G9" s="387">
        <v>185761</v>
      </c>
      <c r="H9" s="358"/>
      <c r="I9" s="365">
        <v>232036</v>
      </c>
      <c r="J9" s="382">
        <v>48016</v>
      </c>
      <c r="K9" s="363" t="s">
        <v>40</v>
      </c>
      <c r="L9" s="366">
        <v>16</v>
      </c>
      <c r="M9" s="363"/>
      <c r="N9" s="366">
        <v>13</v>
      </c>
      <c r="O9" s="381">
        <v>3</v>
      </c>
      <c r="P9" s="387">
        <v>17132</v>
      </c>
      <c r="Q9" s="361"/>
      <c r="R9" s="365">
        <v>13890</v>
      </c>
      <c r="S9" s="381">
        <v>3242</v>
      </c>
      <c r="T9" s="357"/>
      <c r="U9" s="357"/>
      <c r="V9" s="357"/>
      <c r="W9" s="357"/>
    </row>
    <row r="10" spans="1:23">
      <c r="A10" s="363" t="s">
        <v>32</v>
      </c>
      <c r="B10" s="358"/>
      <c r="C10" s="365">
        <v>4850</v>
      </c>
      <c r="D10" s="358"/>
      <c r="E10" s="365">
        <v>14471</v>
      </c>
      <c r="F10" s="380">
        <v>9621</v>
      </c>
      <c r="G10" s="365"/>
      <c r="H10" s="358"/>
      <c r="I10" s="365"/>
      <c r="J10" s="382">
        <v>0</v>
      </c>
      <c r="K10" s="363" t="s">
        <v>41</v>
      </c>
      <c r="L10" s="366">
        <v>8</v>
      </c>
      <c r="M10" s="363"/>
      <c r="N10" s="366">
        <v>9</v>
      </c>
      <c r="O10" s="381">
        <v>-1</v>
      </c>
      <c r="P10" s="387">
        <v>6550</v>
      </c>
      <c r="Q10" s="361"/>
      <c r="R10" s="365">
        <v>8107</v>
      </c>
      <c r="S10" s="381">
        <v>-1557</v>
      </c>
      <c r="T10" s="357"/>
      <c r="U10" s="357"/>
      <c r="V10" s="357"/>
      <c r="W10" s="357"/>
    </row>
    <row r="11" spans="1:23">
      <c r="A11" s="363" t="s">
        <v>297</v>
      </c>
      <c r="B11" s="358"/>
      <c r="C11" s="366"/>
      <c r="D11" s="358"/>
      <c r="E11" s="366">
        <v>0</v>
      </c>
      <c r="F11" s="380">
        <v>0</v>
      </c>
      <c r="G11" s="387">
        <v>176461</v>
      </c>
      <c r="H11" s="358"/>
      <c r="I11" s="365">
        <v>162775</v>
      </c>
      <c r="J11" s="382">
        <v>-13686</v>
      </c>
      <c r="K11" s="363" t="s">
        <v>42</v>
      </c>
      <c r="L11" s="366">
        <v>15</v>
      </c>
      <c r="M11" s="363"/>
      <c r="N11" s="366">
        <v>8</v>
      </c>
      <c r="O11" s="381">
        <v>7</v>
      </c>
      <c r="P11" s="387">
        <v>10948</v>
      </c>
      <c r="Q11" s="361"/>
      <c r="R11" s="365">
        <v>11795</v>
      </c>
      <c r="S11" s="381">
        <v>-847</v>
      </c>
      <c r="T11" s="357"/>
      <c r="U11" s="357"/>
      <c r="V11" s="357"/>
      <c r="W11" s="357"/>
    </row>
    <row r="12" spans="1:23">
      <c r="A12" s="363" t="s">
        <v>33</v>
      </c>
      <c r="B12" s="358"/>
      <c r="C12" s="377">
        <v>1098</v>
      </c>
      <c r="D12" s="358"/>
      <c r="E12" s="377">
        <v>1052</v>
      </c>
      <c r="F12" s="380">
        <v>-46</v>
      </c>
      <c r="G12" s="387">
        <v>17594</v>
      </c>
      <c r="H12" s="358"/>
      <c r="I12" s="365">
        <v>13369</v>
      </c>
      <c r="J12" s="382">
        <v>-4225</v>
      </c>
      <c r="K12" s="363" t="s">
        <v>298</v>
      </c>
      <c r="L12" s="365">
        <v>29</v>
      </c>
      <c r="M12" s="363"/>
      <c r="N12" s="365">
        <v>5366</v>
      </c>
      <c r="O12" s="381">
        <v>-5337</v>
      </c>
      <c r="P12" s="387">
        <v>1438</v>
      </c>
      <c r="Q12" s="361"/>
      <c r="R12" s="365">
        <v>6775</v>
      </c>
      <c r="S12" s="381">
        <v>-5337</v>
      </c>
      <c r="T12" s="357">
        <v>2618</v>
      </c>
      <c r="U12" s="383">
        <v>-7955</v>
      </c>
      <c r="V12" s="357">
        <v>15036</v>
      </c>
      <c r="W12" s="383">
        <v>13598</v>
      </c>
    </row>
    <row r="13" spans="1:23">
      <c r="A13" s="363" t="s">
        <v>299</v>
      </c>
      <c r="B13" s="358"/>
      <c r="C13" s="365">
        <v>1757</v>
      </c>
      <c r="D13" s="358"/>
      <c r="E13" s="365">
        <v>2375</v>
      </c>
      <c r="F13" s="380">
        <v>618</v>
      </c>
      <c r="G13" s="387">
        <v>29028</v>
      </c>
      <c r="H13" s="358"/>
      <c r="I13" s="365">
        <v>26467</v>
      </c>
      <c r="J13" s="382">
        <v>-2561</v>
      </c>
      <c r="K13" s="363" t="s">
        <v>43</v>
      </c>
      <c r="L13" s="366"/>
      <c r="M13" s="363"/>
      <c r="N13" s="366"/>
      <c r="O13" s="381">
        <v>0</v>
      </c>
      <c r="P13" s="389">
        <v>243</v>
      </c>
      <c r="Q13" s="361"/>
      <c r="R13" s="377">
        <v>406</v>
      </c>
      <c r="S13" s="381">
        <v>-163</v>
      </c>
      <c r="T13" s="357"/>
      <c r="U13" s="357"/>
      <c r="V13" s="357"/>
      <c r="W13" s="357"/>
    </row>
    <row r="14" spans="1:23" ht="15" thickBot="1">
      <c r="A14" s="358"/>
      <c r="B14" s="358"/>
      <c r="C14" s="366"/>
      <c r="D14" s="358"/>
      <c r="E14" s="358"/>
      <c r="F14" s="380">
        <v>0</v>
      </c>
      <c r="G14" s="366"/>
      <c r="H14" s="358"/>
      <c r="I14" s="358"/>
      <c r="J14" s="382">
        <v>0</v>
      </c>
      <c r="K14" s="363" t="s">
        <v>44</v>
      </c>
      <c r="L14" s="368">
        <v>7</v>
      </c>
      <c r="M14" s="363"/>
      <c r="N14" s="368">
        <v>6</v>
      </c>
      <c r="O14" s="381">
        <v>1</v>
      </c>
      <c r="P14" s="390">
        <v>6922</v>
      </c>
      <c r="Q14" s="361"/>
      <c r="R14" s="370">
        <v>6835</v>
      </c>
      <c r="S14" s="381">
        <v>87</v>
      </c>
      <c r="T14" s="357"/>
      <c r="U14" s="357"/>
      <c r="V14" s="357"/>
      <c r="W14" s="357"/>
    </row>
    <row r="15" spans="1:23" ht="15" thickBot="1">
      <c r="A15" s="358"/>
      <c r="B15" s="358"/>
      <c r="C15" s="368"/>
      <c r="D15" s="358"/>
      <c r="E15" s="372"/>
      <c r="F15" s="380">
        <v>0</v>
      </c>
      <c r="G15" s="368"/>
      <c r="H15" s="358"/>
      <c r="I15" s="372"/>
      <c r="J15" s="382">
        <v>0</v>
      </c>
      <c r="K15" s="358"/>
      <c r="L15" s="366"/>
      <c r="M15" s="363"/>
      <c r="N15" s="366"/>
      <c r="O15" s="381">
        <v>0</v>
      </c>
      <c r="P15" s="366"/>
      <c r="Q15" s="361"/>
      <c r="R15" s="366"/>
      <c r="S15" s="381">
        <v>0</v>
      </c>
      <c r="T15" s="357"/>
      <c r="U15" s="357"/>
      <c r="V15" s="357"/>
      <c r="W15" s="357"/>
    </row>
    <row r="16" spans="1:23" ht="15" thickBot="1">
      <c r="A16" s="358"/>
      <c r="B16" s="358"/>
      <c r="C16" s="366"/>
      <c r="D16" s="358"/>
      <c r="E16" s="358"/>
      <c r="F16" s="380">
        <v>0</v>
      </c>
      <c r="G16" s="366"/>
      <c r="H16" s="358"/>
      <c r="I16" s="358"/>
      <c r="J16" s="382">
        <v>0</v>
      </c>
      <c r="K16" s="358"/>
      <c r="L16" s="370">
        <v>75</v>
      </c>
      <c r="M16" s="363"/>
      <c r="N16" s="370">
        <v>5402</v>
      </c>
      <c r="O16" s="381">
        <v>-5327</v>
      </c>
      <c r="P16" s="370">
        <v>79506</v>
      </c>
      <c r="Q16" s="361"/>
      <c r="R16" s="370">
        <v>132473</v>
      </c>
      <c r="S16" s="381">
        <v>-52967</v>
      </c>
      <c r="T16" s="357"/>
      <c r="U16" s="357"/>
      <c r="V16" s="357"/>
      <c r="W16" s="357"/>
    </row>
    <row r="17" spans="1:23" ht="15" thickBot="1">
      <c r="A17" s="358"/>
      <c r="B17" s="358"/>
      <c r="C17" s="370">
        <v>7770</v>
      </c>
      <c r="D17" s="358"/>
      <c r="E17" s="370">
        <v>17959</v>
      </c>
      <c r="F17" s="380">
        <v>10189</v>
      </c>
      <c r="G17" s="370">
        <v>436492</v>
      </c>
      <c r="H17" s="358"/>
      <c r="I17" s="370">
        <v>480990</v>
      </c>
      <c r="J17" s="382">
        <v>44498</v>
      </c>
      <c r="K17" s="358"/>
      <c r="L17" s="366"/>
      <c r="M17" s="363"/>
      <c r="N17" s="366"/>
      <c r="O17" s="381">
        <v>0</v>
      </c>
      <c r="P17" s="366"/>
      <c r="Q17" s="361"/>
      <c r="R17" s="366"/>
      <c r="S17" s="381">
        <v>0</v>
      </c>
      <c r="T17" s="357"/>
      <c r="U17" s="357"/>
      <c r="V17" s="356"/>
      <c r="W17" s="356"/>
    </row>
    <row r="18" spans="1:23">
      <c r="A18" s="358"/>
      <c r="B18" s="358"/>
      <c r="C18" s="366"/>
      <c r="D18" s="358"/>
      <c r="E18" s="358"/>
      <c r="F18" s="380">
        <v>0</v>
      </c>
      <c r="G18" s="366"/>
      <c r="H18" s="358"/>
      <c r="I18" s="358"/>
      <c r="J18" s="382">
        <v>0</v>
      </c>
      <c r="K18" s="363" t="s">
        <v>35</v>
      </c>
      <c r="L18" s="366"/>
      <c r="M18" s="363"/>
      <c r="N18" s="366"/>
      <c r="O18" s="381">
        <v>0</v>
      </c>
      <c r="P18" s="366"/>
      <c r="Q18" s="361"/>
      <c r="R18" s="366"/>
      <c r="S18" s="381">
        <v>0</v>
      </c>
      <c r="T18" s="357"/>
      <c r="U18" s="357"/>
      <c r="V18" s="356"/>
      <c r="W18" s="356"/>
    </row>
    <row r="19" spans="1:23" ht="15" thickBot="1">
      <c r="A19" s="363" t="s">
        <v>300</v>
      </c>
      <c r="B19" s="358"/>
      <c r="C19" s="368"/>
      <c r="D19" s="358"/>
      <c r="E19" s="372"/>
      <c r="F19" s="380">
        <v>0</v>
      </c>
      <c r="G19" s="368"/>
      <c r="H19" s="358"/>
      <c r="I19" s="368"/>
      <c r="J19" s="382">
        <v>0</v>
      </c>
      <c r="K19" s="376" t="s">
        <v>295</v>
      </c>
      <c r="L19" s="366"/>
      <c r="M19" s="363"/>
      <c r="N19" s="366"/>
      <c r="O19" s="381">
        <v>0</v>
      </c>
      <c r="P19" s="389">
        <v>155132</v>
      </c>
      <c r="Q19" s="361"/>
      <c r="R19" s="377">
        <v>155128</v>
      </c>
      <c r="S19" s="381">
        <v>4</v>
      </c>
      <c r="T19" s="357"/>
      <c r="U19" s="357"/>
      <c r="V19" s="356"/>
      <c r="W19" s="356"/>
    </row>
    <row r="20" spans="1:23">
      <c r="A20" s="358"/>
      <c r="B20" s="358"/>
      <c r="C20" s="366"/>
      <c r="D20" s="358"/>
      <c r="E20" s="358"/>
      <c r="F20" s="380">
        <v>0</v>
      </c>
      <c r="G20" s="366"/>
      <c r="H20" s="358"/>
      <c r="I20" s="358"/>
      <c r="J20" s="382">
        <v>0</v>
      </c>
      <c r="K20" s="363" t="s">
        <v>301</v>
      </c>
      <c r="L20" s="366"/>
      <c r="M20" s="363"/>
      <c r="N20" s="366"/>
      <c r="O20" s="381">
        <v>0</v>
      </c>
      <c r="P20" s="387">
        <v>50783</v>
      </c>
      <c r="Q20" s="361"/>
      <c r="R20" s="384">
        <v>49640</v>
      </c>
      <c r="S20" s="381">
        <v>1143</v>
      </c>
      <c r="T20" s="383"/>
      <c r="U20" s="357"/>
      <c r="V20" s="356"/>
      <c r="W20" s="356"/>
    </row>
    <row r="21" spans="1:23" ht="15" thickBot="1">
      <c r="A21" s="358"/>
      <c r="B21" s="358"/>
      <c r="C21" s="370">
        <v>7770</v>
      </c>
      <c r="D21" s="358"/>
      <c r="E21" s="370">
        <v>17959</v>
      </c>
      <c r="F21" s="380">
        <v>10189</v>
      </c>
      <c r="G21" s="370">
        <v>436492</v>
      </c>
      <c r="H21" s="358"/>
      <c r="I21" s="370">
        <v>480990</v>
      </c>
      <c r="J21" s="382">
        <v>44498</v>
      </c>
      <c r="K21" s="363" t="s">
        <v>302</v>
      </c>
      <c r="L21" s="366"/>
      <c r="M21" s="363"/>
      <c r="N21" s="366"/>
      <c r="O21" s="381">
        <v>0</v>
      </c>
      <c r="P21" s="387">
        <v>28921</v>
      </c>
      <c r="Q21" s="361"/>
      <c r="R21" s="365">
        <v>27714</v>
      </c>
      <c r="S21" s="381">
        <v>1207</v>
      </c>
      <c r="T21" s="357"/>
      <c r="U21" s="357"/>
      <c r="V21" s="356"/>
      <c r="W21" s="356"/>
    </row>
    <row r="22" spans="1:23">
      <c r="A22" s="363"/>
      <c r="B22" s="363"/>
      <c r="C22" s="366"/>
      <c r="D22" s="363"/>
      <c r="E22" s="366"/>
      <c r="F22" s="380">
        <v>0</v>
      </c>
      <c r="G22" s="366"/>
      <c r="H22" s="363"/>
      <c r="I22" s="366"/>
      <c r="J22" s="382">
        <v>0</v>
      </c>
      <c r="K22" s="363" t="s">
        <v>43</v>
      </c>
      <c r="L22" s="366"/>
      <c r="M22" s="363"/>
      <c r="N22" s="366"/>
      <c r="O22" s="381">
        <v>0</v>
      </c>
      <c r="P22" s="391">
        <v>320</v>
      </c>
      <c r="Q22" s="361"/>
      <c r="R22" s="366">
        <v>560</v>
      </c>
      <c r="S22" s="381">
        <v>-240</v>
      </c>
      <c r="T22" s="357"/>
      <c r="U22" s="357"/>
      <c r="V22" s="356"/>
      <c r="W22" s="356"/>
    </row>
    <row r="23" spans="1:23">
      <c r="A23" s="358"/>
      <c r="B23" s="358"/>
      <c r="C23" s="358"/>
      <c r="D23" s="358"/>
      <c r="E23" s="358"/>
      <c r="F23" s="380">
        <v>0</v>
      </c>
      <c r="G23" s="358"/>
      <c r="H23" s="358"/>
      <c r="I23" s="358"/>
      <c r="J23" s="382">
        <v>0</v>
      </c>
      <c r="K23" s="363" t="s">
        <v>303</v>
      </c>
      <c r="L23" s="366"/>
      <c r="M23" s="363"/>
      <c r="N23" s="366"/>
      <c r="O23" s="381">
        <v>0</v>
      </c>
      <c r="P23" s="387">
        <v>24804</v>
      </c>
      <c r="Q23" s="364"/>
      <c r="R23" s="365">
        <v>24954</v>
      </c>
      <c r="S23" s="381">
        <v>-150</v>
      </c>
      <c r="T23" s="357"/>
      <c r="U23" s="357"/>
      <c r="V23" s="356"/>
      <c r="W23" s="356"/>
    </row>
    <row r="24" spans="1:23" ht="15" thickBot="1">
      <c r="A24" s="363" t="s">
        <v>35</v>
      </c>
      <c r="B24" s="358"/>
      <c r="C24" s="358"/>
      <c r="D24" s="358"/>
      <c r="E24" s="358"/>
      <c r="F24" s="380">
        <v>0</v>
      </c>
      <c r="G24" s="358"/>
      <c r="H24" s="358"/>
      <c r="I24" s="358"/>
      <c r="J24" s="382">
        <v>0</v>
      </c>
      <c r="K24" s="363" t="s">
        <v>44</v>
      </c>
      <c r="L24" s="368"/>
      <c r="M24" s="363"/>
      <c r="N24" s="368"/>
      <c r="O24" s="381">
        <v>0</v>
      </c>
      <c r="P24" s="390">
        <v>2132</v>
      </c>
      <c r="Q24" s="361"/>
      <c r="R24" s="370">
        <v>2132</v>
      </c>
      <c r="S24" s="381">
        <v>0</v>
      </c>
      <c r="T24" s="383"/>
      <c r="U24" s="357" t="s">
        <v>304</v>
      </c>
      <c r="V24" s="356"/>
      <c r="W24" s="356"/>
    </row>
    <row r="25" spans="1:23">
      <c r="A25" s="363" t="s">
        <v>36</v>
      </c>
      <c r="B25" s="358"/>
      <c r="C25" s="358"/>
      <c r="D25" s="358"/>
      <c r="E25" s="358"/>
      <c r="F25" s="380">
        <v>0</v>
      </c>
      <c r="G25" s="358"/>
      <c r="H25" s="358"/>
      <c r="I25" s="358"/>
      <c r="J25" s="382">
        <v>0</v>
      </c>
      <c r="K25" s="358"/>
      <c r="L25" s="366"/>
      <c r="M25" s="363"/>
      <c r="N25" s="366"/>
      <c r="O25" s="381">
        <v>0</v>
      </c>
      <c r="P25" s="366"/>
      <c r="Q25" s="361"/>
      <c r="R25" s="366"/>
      <c r="S25" s="381">
        <v>0</v>
      </c>
      <c r="T25" s="357"/>
      <c r="U25" s="357"/>
      <c r="V25" s="356"/>
      <c r="W25" s="356"/>
    </row>
    <row r="26" spans="1:23" ht="15" thickBot="1">
      <c r="A26" s="363" t="s">
        <v>305</v>
      </c>
      <c r="B26" s="358"/>
      <c r="C26" s="358"/>
      <c r="D26" s="358"/>
      <c r="E26" s="358"/>
      <c r="F26" s="380">
        <v>0</v>
      </c>
      <c r="G26" s="387">
        <v>8437</v>
      </c>
      <c r="H26" s="358"/>
      <c r="I26" s="365">
        <v>8812</v>
      </c>
      <c r="J26" s="382">
        <v>375</v>
      </c>
      <c r="K26" s="358"/>
      <c r="L26" s="371">
        <v>0</v>
      </c>
      <c r="M26" s="363"/>
      <c r="N26" s="371">
        <v>0</v>
      </c>
      <c r="O26" s="381">
        <v>0</v>
      </c>
      <c r="P26" s="371">
        <v>262092</v>
      </c>
      <c r="Q26" s="361"/>
      <c r="R26" s="371">
        <v>260128</v>
      </c>
      <c r="S26" s="381">
        <v>1964</v>
      </c>
      <c r="T26" s="357"/>
      <c r="U26" s="357"/>
      <c r="V26" s="356"/>
      <c r="W26" s="356"/>
    </row>
    <row r="27" spans="1:23" ht="15" thickBot="1">
      <c r="A27" s="363" t="s">
        <v>33</v>
      </c>
      <c r="B27" s="358"/>
      <c r="C27" s="358"/>
      <c r="D27" s="358"/>
      <c r="E27" s="358"/>
      <c r="F27" s="380">
        <v>0</v>
      </c>
      <c r="G27" s="387">
        <v>4571</v>
      </c>
      <c r="H27" s="358"/>
      <c r="I27" s="365">
        <v>4570</v>
      </c>
      <c r="J27" s="382">
        <v>-1</v>
      </c>
      <c r="K27" s="358"/>
      <c r="L27" s="370">
        <v>75</v>
      </c>
      <c r="M27" s="363"/>
      <c r="N27" s="370">
        <v>5402</v>
      </c>
      <c r="O27" s="381">
        <v>-5327</v>
      </c>
      <c r="P27" s="370">
        <v>341598</v>
      </c>
      <c r="Q27" s="361"/>
      <c r="R27" s="370">
        <v>392601</v>
      </c>
      <c r="S27" s="381">
        <v>-51003</v>
      </c>
      <c r="T27" s="357"/>
      <c r="U27" s="357"/>
      <c r="V27" s="356"/>
      <c r="W27" s="356"/>
    </row>
    <row r="28" spans="1:23">
      <c r="A28" s="363" t="s">
        <v>401</v>
      </c>
      <c r="B28" s="358"/>
      <c r="C28" s="358"/>
      <c r="D28" s="358"/>
      <c r="E28" s="358"/>
      <c r="F28" s="380"/>
      <c r="G28" s="387">
        <v>7617</v>
      </c>
      <c r="H28" s="358"/>
      <c r="I28" s="365">
        <v>6664</v>
      </c>
      <c r="J28" s="382"/>
      <c r="K28" s="358"/>
      <c r="L28" s="385"/>
      <c r="M28" s="363"/>
      <c r="N28" s="385"/>
      <c r="O28" s="381"/>
      <c r="P28" s="385"/>
      <c r="Q28" s="361"/>
      <c r="R28" s="385"/>
      <c r="S28" s="381"/>
      <c r="T28" s="357"/>
      <c r="U28" s="357"/>
      <c r="V28" s="356"/>
      <c r="W28" s="356"/>
    </row>
    <row r="29" spans="1:23">
      <c r="A29" s="363" t="s">
        <v>306</v>
      </c>
      <c r="B29" s="358"/>
      <c r="C29" s="358"/>
      <c r="D29" s="358"/>
      <c r="E29" s="358"/>
      <c r="F29" s="380">
        <v>0</v>
      </c>
      <c r="G29" s="387">
        <v>24804</v>
      </c>
      <c r="H29" s="358"/>
      <c r="I29" s="365">
        <v>25574</v>
      </c>
      <c r="J29" s="382">
        <v>770</v>
      </c>
      <c r="K29" s="358"/>
      <c r="L29" s="366"/>
      <c r="M29" s="363"/>
      <c r="N29" s="366"/>
      <c r="O29" s="381">
        <v>0</v>
      </c>
      <c r="P29" s="366"/>
      <c r="Q29" s="361"/>
      <c r="R29" s="366"/>
      <c r="S29" s="381">
        <v>0</v>
      </c>
      <c r="T29" s="357"/>
      <c r="U29" s="357"/>
      <c r="V29" s="356"/>
      <c r="W29" s="356"/>
    </row>
    <row r="30" spans="1:23">
      <c r="A30" s="363" t="s">
        <v>37</v>
      </c>
      <c r="B30" s="358"/>
      <c r="C30" s="358"/>
      <c r="D30" s="358"/>
      <c r="E30" s="358"/>
      <c r="F30" s="380">
        <v>0</v>
      </c>
      <c r="G30" s="387">
        <v>2069</v>
      </c>
      <c r="H30" s="358"/>
      <c r="I30" s="365">
        <v>2116</v>
      </c>
      <c r="J30" s="382">
        <v>47</v>
      </c>
      <c r="K30" s="363" t="s">
        <v>307</v>
      </c>
      <c r="L30" s="366"/>
      <c r="M30" s="363"/>
      <c r="N30" s="366"/>
      <c r="O30" s="381">
        <v>0</v>
      </c>
      <c r="P30" s="366"/>
      <c r="Q30" s="361"/>
      <c r="R30" s="366"/>
      <c r="S30" s="381">
        <v>0</v>
      </c>
      <c r="T30" s="357"/>
      <c r="U30" s="357"/>
      <c r="V30" s="356"/>
      <c r="W30" s="356"/>
    </row>
    <row r="31" spans="1:23" ht="15" thickBot="1">
      <c r="A31" s="363" t="s">
        <v>34</v>
      </c>
      <c r="B31" s="358"/>
      <c r="C31" s="372"/>
      <c r="D31" s="358"/>
      <c r="E31" s="372"/>
      <c r="F31" s="380">
        <v>0</v>
      </c>
      <c r="G31" s="388">
        <v>360</v>
      </c>
      <c r="H31" s="358"/>
      <c r="I31" s="368">
        <v>114</v>
      </c>
      <c r="J31" s="382">
        <v>-246</v>
      </c>
      <c r="K31" s="363" t="s">
        <v>308</v>
      </c>
      <c r="L31" s="366"/>
      <c r="M31" s="363"/>
      <c r="N31" s="366"/>
      <c r="O31" s="381">
        <v>0</v>
      </c>
      <c r="P31" s="366"/>
      <c r="Q31" s="361"/>
      <c r="R31" s="366"/>
      <c r="S31" s="381">
        <v>0</v>
      </c>
      <c r="T31" s="357"/>
      <c r="U31" s="357"/>
      <c r="V31" s="356"/>
      <c r="W31" s="356"/>
    </row>
    <row r="32" spans="1:23">
      <c r="A32" s="358"/>
      <c r="B32" s="358"/>
      <c r="C32" s="358"/>
      <c r="D32" s="358"/>
      <c r="E32" s="358"/>
      <c r="F32" s="380">
        <v>0</v>
      </c>
      <c r="G32" s="366"/>
      <c r="H32" s="358"/>
      <c r="I32" s="358"/>
      <c r="J32" s="382">
        <v>0</v>
      </c>
      <c r="K32" s="363" t="s">
        <v>46</v>
      </c>
      <c r="L32" s="378">
        <v>129393</v>
      </c>
      <c r="M32" s="378"/>
      <c r="N32" s="378">
        <v>127000</v>
      </c>
      <c r="O32" s="381">
        <v>2393</v>
      </c>
      <c r="P32" s="378">
        <v>129393</v>
      </c>
      <c r="Q32" s="378"/>
      <c r="R32" s="378">
        <v>127000</v>
      </c>
      <c r="S32" s="381">
        <v>2393</v>
      </c>
      <c r="T32" s="357"/>
      <c r="U32" s="357"/>
      <c r="V32" s="356"/>
      <c r="W32" s="356"/>
    </row>
    <row r="33" spans="1:23">
      <c r="A33" s="358"/>
      <c r="B33" s="358"/>
      <c r="C33" s="358"/>
      <c r="D33" s="358"/>
      <c r="E33" s="358"/>
      <c r="F33" s="380">
        <v>0</v>
      </c>
      <c r="G33" s="366"/>
      <c r="H33" s="358"/>
      <c r="I33" s="358"/>
      <c r="J33" s="382">
        <v>0</v>
      </c>
      <c r="K33" s="363" t="s">
        <v>47</v>
      </c>
      <c r="L33" s="378">
        <v>-10870</v>
      </c>
      <c r="M33" s="378"/>
      <c r="N33" s="378">
        <v>-10870</v>
      </c>
      <c r="O33" s="381">
        <v>0</v>
      </c>
      <c r="P33" s="378">
        <v>-10870</v>
      </c>
      <c r="Q33" s="378"/>
      <c r="R33" s="378">
        <v>-10870</v>
      </c>
      <c r="S33" s="381">
        <v>0</v>
      </c>
      <c r="T33" s="356"/>
      <c r="U33" s="356"/>
      <c r="V33" s="356"/>
      <c r="W33" s="356"/>
    </row>
    <row r="34" spans="1:23">
      <c r="A34" s="363" t="s">
        <v>309</v>
      </c>
      <c r="B34" s="358"/>
      <c r="C34" s="365">
        <v>362019</v>
      </c>
      <c r="D34" s="358"/>
      <c r="E34" s="365">
        <v>354905</v>
      </c>
      <c r="F34" s="380">
        <v>-7114</v>
      </c>
      <c r="G34" s="377"/>
      <c r="H34" s="358"/>
      <c r="I34" s="358"/>
      <c r="J34" s="382">
        <v>0</v>
      </c>
      <c r="K34" s="363" t="s">
        <v>48</v>
      </c>
      <c r="L34" s="378">
        <v>190475</v>
      </c>
      <c r="M34" s="378"/>
      <c r="N34" s="378">
        <v>188397</v>
      </c>
      <c r="O34" s="381">
        <v>2078</v>
      </c>
      <c r="P34" s="378">
        <v>190475</v>
      </c>
      <c r="Q34" s="378"/>
      <c r="R34" s="378">
        <v>188397</v>
      </c>
      <c r="S34" s="381">
        <v>2078</v>
      </c>
      <c r="T34" s="356"/>
      <c r="U34" s="356"/>
      <c r="V34" s="356"/>
      <c r="W34" s="356"/>
    </row>
    <row r="35" spans="1:23">
      <c r="A35" s="363" t="s">
        <v>310</v>
      </c>
      <c r="B35" s="358"/>
      <c r="C35" s="365">
        <v>74957</v>
      </c>
      <c r="D35" s="358"/>
      <c r="E35" s="365">
        <v>74959</v>
      </c>
      <c r="F35" s="380">
        <v>2</v>
      </c>
      <c r="G35" s="389">
        <v>263798</v>
      </c>
      <c r="H35" s="358"/>
      <c r="I35" s="377">
        <v>266280</v>
      </c>
      <c r="J35" s="382">
        <v>2482</v>
      </c>
      <c r="K35" s="363" t="s">
        <v>49</v>
      </c>
      <c r="L35" s="378">
        <v>147022</v>
      </c>
      <c r="M35" s="378"/>
      <c r="N35" s="378">
        <v>154128</v>
      </c>
      <c r="O35" s="381">
        <v>-7106</v>
      </c>
      <c r="P35" s="378">
        <v>147022</v>
      </c>
      <c r="Q35" s="378"/>
      <c r="R35" s="378">
        <v>154128</v>
      </c>
      <c r="S35" s="381">
        <v>-7106</v>
      </c>
      <c r="T35" s="356"/>
      <c r="U35" s="356"/>
      <c r="V35" s="356"/>
      <c r="W35" s="356"/>
    </row>
    <row r="36" spans="1:23" ht="15" thickBot="1">
      <c r="A36" s="363" t="s">
        <v>311</v>
      </c>
      <c r="B36" s="358"/>
      <c r="C36" s="368"/>
      <c r="D36" s="358"/>
      <c r="E36" s="372"/>
      <c r="F36" s="380">
        <v>0</v>
      </c>
      <c r="G36" s="390">
        <v>41765</v>
      </c>
      <c r="H36" s="358"/>
      <c r="I36" s="370">
        <v>43490</v>
      </c>
      <c r="J36" s="382">
        <v>1725</v>
      </c>
      <c r="K36" s="363" t="s">
        <v>50</v>
      </c>
      <c r="L36" s="378">
        <v>-16234</v>
      </c>
      <c r="M36" s="378"/>
      <c r="N36" s="378">
        <v>-16234</v>
      </c>
      <c r="O36" s="381">
        <v>0</v>
      </c>
      <c r="P36" s="378">
        <v>-16234</v>
      </c>
      <c r="Q36" s="378"/>
      <c r="R36" s="378">
        <v>-16234</v>
      </c>
      <c r="S36" s="381">
        <v>0</v>
      </c>
      <c r="T36" s="356"/>
      <c r="U36" s="356"/>
      <c r="V36" s="356"/>
      <c r="W36" s="356"/>
    </row>
    <row r="37" spans="1:23" ht="15" thickBot="1">
      <c r="A37" s="358"/>
      <c r="B37" s="358"/>
      <c r="C37" s="366"/>
      <c r="D37" s="358"/>
      <c r="E37" s="358"/>
      <c r="F37" s="380">
        <v>0</v>
      </c>
      <c r="G37" s="366"/>
      <c r="H37" s="358"/>
      <c r="I37" s="366"/>
      <c r="J37" s="382">
        <v>0</v>
      </c>
      <c r="K37" s="363" t="s">
        <v>402</v>
      </c>
      <c r="L37" s="379">
        <v>4885</v>
      </c>
      <c r="M37" s="378"/>
      <c r="N37" s="379"/>
      <c r="O37" s="381">
        <v>4885</v>
      </c>
      <c r="P37" s="379">
        <v>4885</v>
      </c>
      <c r="Q37" s="378"/>
      <c r="R37" s="379"/>
      <c r="S37" s="381">
        <v>4885</v>
      </c>
      <c r="T37" s="356"/>
      <c r="U37" s="356"/>
      <c r="V37" s="356"/>
      <c r="W37" s="356"/>
    </row>
    <row r="38" spans="1:23">
      <c r="A38" s="358"/>
      <c r="B38" s="358"/>
      <c r="C38" s="366"/>
      <c r="D38" s="358"/>
      <c r="E38" s="358"/>
      <c r="F38" s="380">
        <v>0</v>
      </c>
      <c r="G38" s="366"/>
      <c r="H38" s="358"/>
      <c r="I38" s="366"/>
      <c r="J38" s="382">
        <v>0</v>
      </c>
      <c r="K38" s="358"/>
      <c r="L38" s="366"/>
      <c r="M38" s="363"/>
      <c r="N38" s="366"/>
      <c r="O38" s="381">
        <v>0</v>
      </c>
      <c r="P38" s="366"/>
      <c r="Q38" s="361"/>
      <c r="R38" s="366"/>
      <c r="S38" s="381">
        <v>0</v>
      </c>
      <c r="T38" s="356"/>
      <c r="U38" s="356"/>
      <c r="V38" s="356"/>
      <c r="W38" s="356"/>
    </row>
    <row r="39" spans="1:23" ht="15" thickBot="1">
      <c r="A39" s="358"/>
      <c r="B39" s="358"/>
      <c r="C39" s="370">
        <v>436976</v>
      </c>
      <c r="D39" s="358"/>
      <c r="E39" s="370">
        <v>429864</v>
      </c>
      <c r="F39" s="380">
        <v>-7112</v>
      </c>
      <c r="G39" s="370">
        <v>353421</v>
      </c>
      <c r="H39" s="358"/>
      <c r="I39" s="370">
        <v>357620</v>
      </c>
      <c r="J39" s="382">
        <v>4199</v>
      </c>
      <c r="K39" s="358"/>
      <c r="L39" s="370">
        <v>444671</v>
      </c>
      <c r="M39" s="363"/>
      <c r="N39" s="370">
        <v>442421</v>
      </c>
      <c r="O39" s="381">
        <v>2250</v>
      </c>
      <c r="P39" s="370">
        <v>444671</v>
      </c>
      <c r="Q39" s="361"/>
      <c r="R39" s="370">
        <v>442421</v>
      </c>
      <c r="S39" s="381">
        <v>2250</v>
      </c>
      <c r="T39" s="356"/>
      <c r="U39" s="356"/>
      <c r="V39" s="356"/>
      <c r="W39" s="356"/>
    </row>
    <row r="40" spans="1:23">
      <c r="A40" s="358"/>
      <c r="B40" s="358"/>
      <c r="C40" s="366"/>
      <c r="D40" s="358"/>
      <c r="E40" s="358"/>
      <c r="F40" s="380">
        <v>0</v>
      </c>
      <c r="G40" s="366"/>
      <c r="H40" s="358"/>
      <c r="I40" s="366"/>
      <c r="J40" s="382">
        <v>0</v>
      </c>
      <c r="K40" s="358"/>
      <c r="L40" s="366"/>
      <c r="M40" s="363"/>
      <c r="N40" s="366"/>
      <c r="O40" s="381">
        <v>0</v>
      </c>
      <c r="P40" s="366"/>
      <c r="Q40" s="361"/>
      <c r="R40" s="366"/>
      <c r="S40" s="381">
        <v>0</v>
      </c>
      <c r="T40" s="356"/>
      <c r="U40" s="356"/>
      <c r="V40" s="356"/>
      <c r="W40" s="356"/>
    </row>
    <row r="41" spans="1:23" ht="15" thickBot="1">
      <c r="A41" s="363"/>
      <c r="B41" s="363"/>
      <c r="C41" s="366"/>
      <c r="D41" s="363"/>
      <c r="E41" s="367"/>
      <c r="F41" s="380">
        <v>0</v>
      </c>
      <c r="G41" s="366"/>
      <c r="H41" s="363"/>
      <c r="I41" s="367"/>
      <c r="J41" s="382">
        <v>0</v>
      </c>
      <c r="K41" s="363" t="s">
        <v>55</v>
      </c>
      <c r="L41" s="368"/>
      <c r="M41" s="363"/>
      <c r="N41" s="369"/>
      <c r="O41" s="381">
        <v>0</v>
      </c>
      <c r="P41" s="370">
        <v>3644</v>
      </c>
      <c r="Q41" s="364"/>
      <c r="R41" s="370">
        <v>3588</v>
      </c>
      <c r="S41" s="381">
        <v>56</v>
      </c>
      <c r="T41" s="356"/>
      <c r="U41" s="356"/>
      <c r="V41" s="356"/>
      <c r="W41" s="356"/>
    </row>
    <row r="42" spans="1:23">
      <c r="A42" s="363"/>
      <c r="B42" s="363"/>
      <c r="C42" s="366"/>
      <c r="D42" s="363"/>
      <c r="E42" s="367"/>
      <c r="F42" s="380">
        <v>0</v>
      </c>
      <c r="G42" s="366"/>
      <c r="H42" s="363"/>
      <c r="I42" s="367"/>
      <c r="J42" s="382">
        <v>0</v>
      </c>
      <c r="K42" s="363"/>
      <c r="L42" s="366"/>
      <c r="M42" s="363"/>
      <c r="N42" s="367"/>
      <c r="O42" s="381">
        <v>0</v>
      </c>
      <c r="P42" s="366"/>
      <c r="Q42" s="364"/>
      <c r="R42" s="367"/>
      <c r="S42" s="381">
        <v>0</v>
      </c>
      <c r="T42" s="356"/>
      <c r="U42" s="356"/>
      <c r="V42" s="356"/>
      <c r="W42" s="356"/>
    </row>
    <row r="43" spans="1:23" ht="15" thickBot="1">
      <c r="A43" s="363"/>
      <c r="B43" s="363"/>
      <c r="C43" s="368"/>
      <c r="D43" s="363"/>
      <c r="E43" s="369"/>
      <c r="F43" s="380">
        <v>0</v>
      </c>
      <c r="G43" s="368"/>
      <c r="H43" s="363"/>
      <c r="I43" s="369"/>
      <c r="J43" s="382">
        <v>0</v>
      </c>
      <c r="K43" s="363" t="s">
        <v>51</v>
      </c>
      <c r="L43" s="370">
        <v>444671</v>
      </c>
      <c r="M43" s="363"/>
      <c r="N43" s="370">
        <v>442421</v>
      </c>
      <c r="O43" s="381">
        <v>2250</v>
      </c>
      <c r="P43" s="370">
        <v>448315</v>
      </c>
      <c r="Q43" s="364"/>
      <c r="R43" s="370">
        <v>446009</v>
      </c>
      <c r="S43" s="381">
        <v>2306</v>
      </c>
      <c r="T43" s="356"/>
      <c r="U43" s="356"/>
      <c r="V43" s="356"/>
      <c r="W43" s="356"/>
    </row>
    <row r="44" spans="1:23">
      <c r="A44" s="363"/>
      <c r="B44" s="363"/>
      <c r="C44" s="366"/>
      <c r="D44" s="363"/>
      <c r="E44" s="367"/>
      <c r="F44" s="380">
        <v>0</v>
      </c>
      <c r="G44" s="366"/>
      <c r="H44" s="363"/>
      <c r="I44" s="367"/>
      <c r="J44" s="382">
        <v>0</v>
      </c>
      <c r="K44" s="363"/>
      <c r="L44" s="366"/>
      <c r="M44" s="363"/>
      <c r="N44" s="367"/>
      <c r="O44" s="381">
        <v>0</v>
      </c>
      <c r="P44" s="366"/>
      <c r="Q44" s="364"/>
      <c r="R44" s="367"/>
      <c r="S44" s="381">
        <v>0</v>
      </c>
      <c r="T44" s="356"/>
      <c r="U44" s="356"/>
      <c r="V44" s="356"/>
      <c r="W44" s="356"/>
    </row>
    <row r="45" spans="1:23" ht="15" thickBot="1">
      <c r="A45" s="363" t="s">
        <v>38</v>
      </c>
      <c r="B45" s="358"/>
      <c r="C45" s="373">
        <v>444746</v>
      </c>
      <c r="D45" s="358"/>
      <c r="E45" s="373">
        <v>447823</v>
      </c>
      <c r="F45" s="380">
        <v>3077</v>
      </c>
      <c r="G45" s="373">
        <v>789913</v>
      </c>
      <c r="H45" s="358"/>
      <c r="I45" s="373">
        <v>838610</v>
      </c>
      <c r="J45" s="382">
        <v>48697</v>
      </c>
      <c r="K45" s="363" t="s">
        <v>312</v>
      </c>
      <c r="L45" s="373">
        <v>444746</v>
      </c>
      <c r="M45" s="363"/>
      <c r="N45" s="373">
        <v>447823</v>
      </c>
      <c r="O45" s="381">
        <v>-3077</v>
      </c>
      <c r="P45" s="373">
        <v>789913</v>
      </c>
      <c r="Q45" s="361"/>
      <c r="R45" s="373">
        <v>838610</v>
      </c>
      <c r="S45" s="381">
        <v>-48697</v>
      </c>
      <c r="T45" s="356"/>
      <c r="U45" s="356"/>
      <c r="V45" s="356"/>
      <c r="W45" s="356"/>
    </row>
    <row r="46" spans="1:23" ht="15" thickTop="1">
      <c r="A46" s="374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83">
        <v>0</v>
      </c>
      <c r="M46" s="357"/>
      <c r="N46" s="383">
        <v>0</v>
      </c>
      <c r="O46" s="357"/>
      <c r="P46" s="383">
        <v>0</v>
      </c>
      <c r="Q46" s="357"/>
      <c r="R46" s="383">
        <v>0</v>
      </c>
      <c r="S46" s="357"/>
      <c r="T46" s="356"/>
      <c r="U46" s="356"/>
      <c r="V46" s="356"/>
      <c r="W46" s="356"/>
    </row>
    <row r="47" spans="1:23">
      <c r="A47" s="374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6"/>
      <c r="U47" s="356"/>
      <c r="V47" s="356"/>
      <c r="W47" s="356"/>
    </row>
    <row r="48" spans="1:23">
      <c r="A48" s="374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6"/>
      <c r="U48" s="356"/>
      <c r="V48" s="356"/>
      <c r="W48" s="356"/>
    </row>
    <row r="49" spans="1:23">
      <c r="A49" s="375" t="s">
        <v>313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</row>
    <row r="50" spans="1:23">
      <c r="A50" s="375" t="s">
        <v>314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6640625" customWidth="1"/>
    <col min="5" max="5" width="2.88671875" customWidth="1"/>
    <col min="6" max="6" width="9.6640625" bestFit="1" customWidth="1"/>
    <col min="7" max="7" width="2.5546875" customWidth="1"/>
    <col min="9" max="10" width="9.109375" style="115"/>
    <col min="14" max="14" width="14.33203125" bestFit="1" customWidth="1"/>
    <col min="16" max="16" width="10.6640625" bestFit="1" customWidth="1"/>
  </cols>
  <sheetData>
    <row r="1" spans="1:10" ht="15" thickBot="1">
      <c r="A1" s="275"/>
      <c r="B1" s="491" t="s">
        <v>264</v>
      </c>
      <c r="C1" s="491"/>
      <c r="D1" s="491"/>
      <c r="E1" s="62"/>
      <c r="F1" s="491" t="s">
        <v>265</v>
      </c>
      <c r="G1" s="491"/>
      <c r="H1" s="491"/>
    </row>
    <row r="2" spans="1:10">
      <c r="A2" s="275"/>
      <c r="B2" s="62"/>
      <c r="C2" s="276"/>
      <c r="D2" s="277"/>
      <c r="E2" s="62"/>
      <c r="F2" s="62"/>
      <c r="G2" s="276"/>
      <c r="H2" s="277"/>
    </row>
    <row r="3" spans="1:10" ht="15" thickBot="1">
      <c r="A3" s="275"/>
      <c r="B3" s="278"/>
      <c r="C3" s="62"/>
      <c r="D3" s="278">
        <v>2013</v>
      </c>
      <c r="E3" s="62"/>
      <c r="F3" s="278"/>
      <c r="G3" s="62"/>
      <c r="H3" s="278">
        <v>2013</v>
      </c>
      <c r="I3" s="279">
        <v>2012</v>
      </c>
      <c r="J3" s="279">
        <v>2013</v>
      </c>
    </row>
    <row r="4" spans="1:10">
      <c r="A4" s="275"/>
      <c r="B4" s="62"/>
      <c r="C4" s="62"/>
      <c r="D4" s="62"/>
      <c r="E4" s="62"/>
      <c r="F4" s="62"/>
      <c r="G4" s="62"/>
      <c r="H4" s="62"/>
    </row>
    <row r="5" spans="1:10">
      <c r="A5" s="280" t="s">
        <v>266</v>
      </c>
      <c r="B5" s="281"/>
      <c r="C5" s="281"/>
      <c r="D5" s="281"/>
      <c r="E5" s="281"/>
      <c r="F5" s="282">
        <v>67326</v>
      </c>
      <c r="G5" s="281"/>
      <c r="H5" s="283">
        <v>59182</v>
      </c>
    </row>
    <row r="6" spans="1:10" ht="15" thickBot="1">
      <c r="A6" s="280" t="s">
        <v>267</v>
      </c>
      <c r="B6" s="284"/>
      <c r="C6" s="281"/>
      <c r="D6" s="284"/>
      <c r="E6" s="281"/>
      <c r="F6" s="285">
        <v>-30550</v>
      </c>
      <c r="G6" s="286"/>
      <c r="H6" s="285">
        <v>-27197</v>
      </c>
      <c r="I6" s="115">
        <f>H6/H5</f>
        <v>-0.45954851137170083</v>
      </c>
      <c r="J6" s="115">
        <f>F6/F5</f>
        <v>-0.45376229094257792</v>
      </c>
    </row>
    <row r="7" spans="1:10">
      <c r="A7" s="275"/>
      <c r="B7" s="281"/>
      <c r="C7" s="281"/>
      <c r="D7" s="281"/>
      <c r="E7" s="281"/>
      <c r="F7" s="282"/>
      <c r="G7" s="281"/>
      <c r="H7" s="281"/>
    </row>
    <row r="8" spans="1:10">
      <c r="A8" s="287" t="s">
        <v>257</v>
      </c>
      <c r="B8" s="281"/>
      <c r="C8" s="281"/>
      <c r="D8" s="281"/>
      <c r="E8" s="281"/>
      <c r="F8" s="282">
        <f>SUM(F5:F7)</f>
        <v>36776</v>
      </c>
      <c r="G8" s="281"/>
      <c r="H8" s="282">
        <f>SUM(H5:H7)</f>
        <v>31985</v>
      </c>
      <c r="I8" s="115">
        <f>H8/$H$5</f>
        <v>0.54045148862829917</v>
      </c>
      <c r="J8" s="115">
        <f>F8/$F$5</f>
        <v>0.54623770905742208</v>
      </c>
    </row>
    <row r="9" spans="1:10">
      <c r="A9" s="280" t="s">
        <v>268</v>
      </c>
      <c r="B9" s="286"/>
      <c r="C9" s="286"/>
      <c r="D9" s="286"/>
      <c r="E9" s="286"/>
      <c r="F9" s="286">
        <v>-24076</v>
      </c>
      <c r="G9" s="286"/>
      <c r="H9" s="286">
        <v>-23110</v>
      </c>
      <c r="I9" s="115">
        <f t="shared" ref="I9:I25" si="0">H9/$H$5</f>
        <v>-0.39049035179615421</v>
      </c>
      <c r="J9" s="115">
        <f t="shared" ref="J9:J25" si="1">F9/$F$5</f>
        <v>-0.35760330333006562</v>
      </c>
    </row>
    <row r="10" spans="1:10">
      <c r="A10" s="280" t="s">
        <v>269</v>
      </c>
      <c r="B10" s="286">
        <v>-235</v>
      </c>
      <c r="C10" s="286"/>
      <c r="D10" s="288">
        <v>-212</v>
      </c>
      <c r="E10" s="286"/>
      <c r="F10" s="286">
        <v>-8784</v>
      </c>
      <c r="G10" s="286"/>
      <c r="H10" s="286">
        <v>-9158</v>
      </c>
      <c r="I10" s="115">
        <f t="shared" si="0"/>
        <v>-0.15474299618127133</v>
      </c>
      <c r="J10" s="115">
        <f t="shared" si="1"/>
        <v>-0.13046965511095268</v>
      </c>
    </row>
    <row r="11" spans="1:10">
      <c r="A11" s="280" t="s">
        <v>270</v>
      </c>
      <c r="B11" s="286">
        <v>0</v>
      </c>
      <c r="C11" s="286"/>
      <c r="D11" s="288"/>
      <c r="E11" s="286"/>
      <c r="F11" s="286">
        <v>-5400</v>
      </c>
      <c r="G11" s="286"/>
      <c r="H11" s="286">
        <v>-5783</v>
      </c>
      <c r="I11" s="115">
        <f t="shared" si="0"/>
        <v>-9.7715521611300732E-2</v>
      </c>
      <c r="J11" s="115">
        <f t="shared" si="1"/>
        <v>-8.020675519115944E-2</v>
      </c>
    </row>
    <row r="12" spans="1:10" ht="15" thickBot="1">
      <c r="A12" s="280" t="s">
        <v>271</v>
      </c>
      <c r="B12" s="285">
        <v>-5189</v>
      </c>
      <c r="C12" s="289"/>
      <c r="D12" s="290">
        <v>-7607</v>
      </c>
      <c r="E12" s="281"/>
      <c r="F12" s="291"/>
      <c r="G12" s="281"/>
      <c r="H12" s="284"/>
      <c r="I12" s="115">
        <f t="shared" si="0"/>
        <v>0</v>
      </c>
      <c r="J12" s="115">
        <f t="shared" si="1"/>
        <v>0</v>
      </c>
    </row>
    <row r="13" spans="1:10">
      <c r="A13" s="275"/>
      <c r="B13" s="282"/>
      <c r="C13" s="289"/>
      <c r="D13" s="282"/>
      <c r="E13" s="281"/>
      <c r="F13" s="282"/>
      <c r="G13" s="281"/>
      <c r="H13" s="281"/>
      <c r="I13" s="115">
        <f t="shared" si="0"/>
        <v>0</v>
      </c>
      <c r="J13" s="115">
        <f t="shared" si="1"/>
        <v>0</v>
      </c>
    </row>
    <row r="14" spans="1:10">
      <c r="A14" s="287" t="s">
        <v>272</v>
      </c>
      <c r="B14" s="286">
        <f>SUM(B8:B12)</f>
        <v>-5424</v>
      </c>
      <c r="C14" s="286"/>
      <c r="D14" s="286">
        <f>SUM(D8:D12)</f>
        <v>-7819</v>
      </c>
      <c r="E14" s="286"/>
      <c r="F14" s="286">
        <f>SUM(F8:F12)</f>
        <v>-1484</v>
      </c>
      <c r="G14" s="286"/>
      <c r="H14" s="286">
        <f>SUM(H8:H12)</f>
        <v>-6066</v>
      </c>
      <c r="I14" s="115">
        <f t="shared" si="0"/>
        <v>-0.10249738096042715</v>
      </c>
      <c r="J14" s="115">
        <f t="shared" si="1"/>
        <v>-2.2042004574755667E-2</v>
      </c>
    </row>
    <row r="15" spans="1:10">
      <c r="A15" s="280" t="s">
        <v>258</v>
      </c>
      <c r="B15" s="286">
        <v>21</v>
      </c>
      <c r="C15" s="286"/>
      <c r="D15" s="292">
        <v>98</v>
      </c>
      <c r="E15" s="286"/>
      <c r="F15" s="286">
        <v>6370</v>
      </c>
      <c r="G15" s="286"/>
      <c r="H15" s="293">
        <v>3957</v>
      </c>
      <c r="I15" s="115">
        <f t="shared" si="0"/>
        <v>6.6861545740258863E-2</v>
      </c>
      <c r="J15" s="115">
        <f t="shared" si="1"/>
        <v>9.4614264919941779E-2</v>
      </c>
    </row>
    <row r="16" spans="1:10" ht="15" thickBot="1">
      <c r="A16" s="280" t="s">
        <v>259</v>
      </c>
      <c r="B16" s="285"/>
      <c r="C16" s="286"/>
      <c r="D16" s="285"/>
      <c r="E16" s="286"/>
      <c r="F16" s="285">
        <v>-8870</v>
      </c>
      <c r="G16" s="286"/>
      <c r="H16" s="285">
        <v>-2569</v>
      </c>
      <c r="I16" s="115">
        <f t="shared" si="0"/>
        <v>-4.3408468791186511E-2</v>
      </c>
      <c r="J16" s="115">
        <f t="shared" si="1"/>
        <v>-0.13174702195288596</v>
      </c>
    </row>
    <row r="17" spans="1:10">
      <c r="A17" s="275"/>
      <c r="B17" s="282"/>
      <c r="C17" s="289"/>
      <c r="D17" s="282"/>
      <c r="E17" s="281"/>
      <c r="F17" s="282"/>
      <c r="G17" s="281"/>
      <c r="H17" s="281"/>
      <c r="I17" s="115">
        <f t="shared" si="0"/>
        <v>0</v>
      </c>
      <c r="J17" s="115">
        <f t="shared" si="1"/>
        <v>0</v>
      </c>
    </row>
    <row r="18" spans="1:10" ht="15" thickBot="1">
      <c r="A18" s="287" t="s">
        <v>273</v>
      </c>
      <c r="B18" s="291">
        <f>SUM(B15:B16)</f>
        <v>21</v>
      </c>
      <c r="C18" s="289"/>
      <c r="D18" s="291">
        <f>SUM(D15:D16)</f>
        <v>98</v>
      </c>
      <c r="E18" s="281"/>
      <c r="F18" s="291">
        <f>SUM(F15:F16)</f>
        <v>-2500</v>
      </c>
      <c r="G18" s="281"/>
      <c r="H18" s="291">
        <f>SUM(H15:H16)</f>
        <v>1388</v>
      </c>
      <c r="I18" s="115">
        <f t="shared" si="0"/>
        <v>2.3453076949072352E-2</v>
      </c>
      <c r="J18" s="115">
        <f t="shared" si="1"/>
        <v>-3.7132757032944184E-2</v>
      </c>
    </row>
    <row r="19" spans="1:10">
      <c r="A19" s="275"/>
      <c r="B19" s="282"/>
      <c r="C19" s="289"/>
      <c r="D19" s="282"/>
      <c r="E19" s="281"/>
      <c r="F19" s="282"/>
      <c r="G19" s="281"/>
      <c r="H19" s="281"/>
      <c r="I19" s="115">
        <f t="shared" si="0"/>
        <v>0</v>
      </c>
      <c r="J19" s="115">
        <f t="shared" si="1"/>
        <v>0</v>
      </c>
    </row>
    <row r="20" spans="1:10">
      <c r="A20" s="287" t="s">
        <v>260</v>
      </c>
      <c r="B20" s="286">
        <f>B14+B18</f>
        <v>-5403</v>
      </c>
      <c r="C20" s="286"/>
      <c r="D20" s="286">
        <f>D14+D18</f>
        <v>-7721</v>
      </c>
      <c r="E20" s="286"/>
      <c r="F20" s="286">
        <f>F14+F18</f>
        <v>-3984</v>
      </c>
      <c r="G20" s="286"/>
      <c r="H20" s="286">
        <f>H14+H18</f>
        <v>-4678</v>
      </c>
      <c r="I20" s="115">
        <f t="shared" si="0"/>
        <v>-7.9044304011354802E-2</v>
      </c>
      <c r="J20" s="115">
        <f t="shared" si="1"/>
        <v>-5.9174761607699848E-2</v>
      </c>
    </row>
    <row r="21" spans="1:10">
      <c r="A21" s="280" t="s">
        <v>261</v>
      </c>
      <c r="B21" s="286"/>
      <c r="C21" s="286"/>
      <c r="D21" s="286"/>
      <c r="E21" s="286"/>
      <c r="F21" s="286"/>
      <c r="G21" s="286"/>
      <c r="H21" s="286"/>
      <c r="I21" s="115">
        <f t="shared" si="0"/>
        <v>0</v>
      </c>
      <c r="J21" s="115">
        <f t="shared" si="1"/>
        <v>0</v>
      </c>
    </row>
    <row r="22" spans="1:10">
      <c r="A22" s="280" t="s">
        <v>274</v>
      </c>
      <c r="B22" s="286"/>
      <c r="C22" s="286"/>
      <c r="D22" s="286"/>
      <c r="E22" s="286"/>
      <c r="F22" s="286">
        <v>-2049</v>
      </c>
      <c r="G22" s="286"/>
      <c r="H22" s="293">
        <v>-921</v>
      </c>
      <c r="I22" s="115">
        <f t="shared" si="0"/>
        <v>-1.5562164171538644E-2</v>
      </c>
      <c r="J22" s="115">
        <f t="shared" si="1"/>
        <v>-3.0434007664201051E-2</v>
      </c>
    </row>
    <row r="23" spans="1:10" ht="15" thickBot="1">
      <c r="A23" s="280" t="s">
        <v>275</v>
      </c>
      <c r="B23" s="285"/>
      <c r="C23" s="286"/>
      <c r="D23" s="285"/>
      <c r="E23" s="286"/>
      <c r="F23" s="285">
        <v>615</v>
      </c>
      <c r="G23" s="286"/>
      <c r="H23" s="285">
        <v>-2163</v>
      </c>
      <c r="I23" s="115">
        <f t="shared" si="0"/>
        <v>-3.6548274813287825E-2</v>
      </c>
      <c r="J23" s="115">
        <f t="shared" si="1"/>
        <v>9.1346582301042693E-3</v>
      </c>
    </row>
    <row r="24" spans="1:10">
      <c r="A24" s="275"/>
      <c r="B24" s="282"/>
      <c r="C24" s="289"/>
      <c r="D24" s="282"/>
      <c r="E24" s="281"/>
      <c r="F24" s="282"/>
      <c r="G24" s="281"/>
      <c r="H24" s="281"/>
      <c r="I24" s="115">
        <f t="shared" si="0"/>
        <v>0</v>
      </c>
      <c r="J24" s="115">
        <f t="shared" si="1"/>
        <v>0</v>
      </c>
    </row>
    <row r="25" spans="1:10" ht="15" thickBot="1">
      <c r="A25" s="287" t="s">
        <v>276</v>
      </c>
      <c r="B25" s="294">
        <f>SUM(B20:B24)</f>
        <v>-5403</v>
      </c>
      <c r="C25" s="289"/>
      <c r="D25" s="294">
        <f>SUM(D20:D24)</f>
        <v>-7721</v>
      </c>
      <c r="E25" s="281"/>
      <c r="F25" s="294">
        <f>SUM(F20:F24)</f>
        <v>-5418</v>
      </c>
      <c r="G25" s="281"/>
      <c r="H25" s="294">
        <f>SUM(H20:H24)</f>
        <v>-7762</v>
      </c>
      <c r="I25" s="115">
        <f t="shared" si="0"/>
        <v>-0.13115474299618127</v>
      </c>
      <c r="J25" s="115">
        <f t="shared" si="1"/>
        <v>-8.0474111041796637E-2</v>
      </c>
    </row>
    <row r="26" spans="1:10" ht="15" thickTop="1">
      <c r="A26" s="275"/>
      <c r="B26" s="282"/>
      <c r="C26" s="289"/>
      <c r="D26" s="282"/>
      <c r="E26" s="281"/>
      <c r="F26" s="282"/>
      <c r="G26" s="281"/>
      <c r="H26" s="281"/>
    </row>
    <row r="27" spans="1:10">
      <c r="A27" s="275"/>
      <c r="B27" s="282"/>
      <c r="C27" s="289"/>
      <c r="D27" s="282"/>
      <c r="E27" s="281"/>
      <c r="F27" s="281"/>
      <c r="G27" s="281"/>
      <c r="H27" s="281"/>
    </row>
    <row r="28" spans="1:10">
      <c r="A28" s="287" t="s">
        <v>262</v>
      </c>
      <c r="B28" s="496"/>
      <c r="C28" s="497"/>
      <c r="D28" s="496"/>
      <c r="E28" s="493"/>
      <c r="F28" s="286"/>
      <c r="G28" s="286"/>
      <c r="H28" s="286"/>
    </row>
    <row r="29" spans="1:10">
      <c r="A29" s="287"/>
      <c r="B29" s="496"/>
      <c r="C29" s="497"/>
      <c r="D29" s="496"/>
      <c r="E29" s="493"/>
      <c r="F29" s="286"/>
      <c r="G29" s="286"/>
      <c r="H29" s="286"/>
    </row>
    <row r="30" spans="1:10">
      <c r="A30" s="280" t="s">
        <v>263</v>
      </c>
      <c r="B30" s="496"/>
      <c r="C30" s="497"/>
      <c r="D30" s="496"/>
      <c r="E30" s="493"/>
      <c r="F30" s="286">
        <v>-5403</v>
      </c>
      <c r="G30" s="286"/>
      <c r="H30" s="283">
        <v>-7721</v>
      </c>
    </row>
    <row r="31" spans="1:10">
      <c r="A31" s="280" t="s">
        <v>70</v>
      </c>
      <c r="B31" s="295"/>
      <c r="C31" s="296"/>
      <c r="D31" s="295"/>
      <c r="E31" s="62"/>
      <c r="F31" s="286">
        <v>-15</v>
      </c>
      <c r="G31" s="286"/>
      <c r="H31" s="288">
        <v>-41</v>
      </c>
    </row>
    <row r="32" spans="1:10" ht="15" thickBot="1">
      <c r="A32" s="275"/>
      <c r="B32" s="295"/>
      <c r="C32" s="296"/>
      <c r="D32" s="295"/>
      <c r="E32" s="62"/>
      <c r="F32" s="297"/>
      <c r="G32" s="62"/>
      <c r="H32" s="297"/>
    </row>
    <row r="33" spans="1:16">
      <c r="A33" s="275"/>
      <c r="B33" s="295"/>
      <c r="C33" s="296"/>
      <c r="D33" s="295"/>
      <c r="E33" s="62"/>
      <c r="F33" s="62"/>
      <c r="G33" s="62"/>
      <c r="H33" s="62"/>
    </row>
    <row r="34" spans="1:16" ht="15" thickBot="1">
      <c r="A34" s="275"/>
      <c r="B34" s="295"/>
      <c r="C34" s="296"/>
      <c r="D34" s="295"/>
      <c r="E34" s="62"/>
      <c r="F34" s="298">
        <f>SUM(F28:F32)</f>
        <v>-5418</v>
      </c>
      <c r="G34" s="62"/>
      <c r="H34" s="298">
        <f>SUM(H28:H32)</f>
        <v>-7762</v>
      </c>
    </row>
    <row r="35" spans="1:16" ht="109.5" customHeight="1" thickTop="1">
      <c r="A35" s="276" t="s">
        <v>277</v>
      </c>
      <c r="B35" s="295"/>
      <c r="C35" s="296"/>
      <c r="D35" s="295"/>
      <c r="E35" s="62"/>
      <c r="F35" s="62"/>
      <c r="G35" s="62"/>
      <c r="H35" s="62"/>
    </row>
    <row r="36" spans="1:16" ht="48.75" customHeight="1">
      <c r="A36" s="276" t="s">
        <v>278</v>
      </c>
      <c r="B36" s="295"/>
      <c r="C36" s="296"/>
      <c r="D36" s="295"/>
      <c r="E36" s="62"/>
      <c r="F36" s="62"/>
      <c r="G36" s="62"/>
      <c r="H36" s="62"/>
    </row>
    <row r="37" spans="1:16">
      <c r="A37" s="62"/>
      <c r="B37" s="295"/>
      <c r="C37" s="296"/>
      <c r="D37" s="295"/>
      <c r="E37" s="62"/>
      <c r="F37" s="62"/>
      <c r="G37" s="62"/>
      <c r="H37" s="62"/>
      <c r="L37" t="s">
        <v>279</v>
      </c>
    </row>
    <row r="38" spans="1:16">
      <c r="A38" s="287" t="s">
        <v>280</v>
      </c>
      <c r="B38" s="295"/>
      <c r="C38" s="296"/>
      <c r="D38" s="295"/>
      <c r="E38" s="62"/>
      <c r="F38" s="62"/>
      <c r="G38" s="62"/>
      <c r="H38" s="62"/>
      <c r="L38" t="s">
        <v>281</v>
      </c>
      <c r="N38" s="274">
        <v>77473553.7675841</v>
      </c>
      <c r="O38" t="s">
        <v>282</v>
      </c>
      <c r="P38" s="299">
        <v>41639</v>
      </c>
    </row>
    <row r="39" spans="1:16" ht="15" thickBot="1">
      <c r="A39" s="280" t="s">
        <v>283</v>
      </c>
      <c r="B39" s="295"/>
      <c r="C39" s="296"/>
      <c r="D39" s="295"/>
      <c r="E39" s="62"/>
      <c r="F39" s="300">
        <f>F30/(N38/1000)</f>
        <v>-6.973992720417431E-2</v>
      </c>
      <c r="G39" s="62"/>
      <c r="H39" s="301">
        <v>-0.108</v>
      </c>
      <c r="L39" t="s">
        <v>284</v>
      </c>
      <c r="N39" s="274"/>
    </row>
    <row r="40" spans="1:16" ht="15" thickTop="1">
      <c r="A40" s="275"/>
      <c r="B40" s="62"/>
      <c r="C40" s="62"/>
      <c r="D40" s="62"/>
      <c r="E40" s="62"/>
      <c r="F40" s="302"/>
      <c r="G40" s="62"/>
      <c r="H40" s="62"/>
      <c r="L40" t="s">
        <v>285</v>
      </c>
      <c r="N40" s="274">
        <v>3050178.8136986303</v>
      </c>
    </row>
    <row r="41" spans="1:16">
      <c r="A41" s="287" t="s">
        <v>286</v>
      </c>
      <c r="B41" s="62"/>
      <c r="C41" s="62"/>
      <c r="D41" s="62"/>
      <c r="E41" s="62"/>
      <c r="F41" s="302"/>
      <c r="G41" s="62"/>
      <c r="H41" s="62"/>
    </row>
    <row r="42" spans="1:16" ht="15" thickBot="1">
      <c r="A42" s="280" t="s">
        <v>287</v>
      </c>
      <c r="B42" s="62"/>
      <c r="C42" s="62"/>
      <c r="D42" s="62"/>
      <c r="E42" s="62"/>
      <c r="F42" s="300">
        <f>F30/(N42/1000)</f>
        <v>-6.7098230879276147E-2</v>
      </c>
      <c r="G42" s="62"/>
      <c r="H42" s="301">
        <v>-9.6000000000000002E-2</v>
      </c>
      <c r="L42" t="s">
        <v>288</v>
      </c>
      <c r="N42" s="303">
        <f>SUM(N38:N40)</f>
        <v>80523732.581282735</v>
      </c>
    </row>
    <row r="43" spans="1:16" ht="15" thickTop="1">
      <c r="F43" s="304"/>
    </row>
    <row r="44" spans="1:16">
      <c r="F44" s="304"/>
      <c r="L44" t="s">
        <v>289</v>
      </c>
      <c r="N44" s="305">
        <f>G36/(N38/1000)</f>
        <v>0</v>
      </c>
    </row>
    <row r="45" spans="1:16">
      <c r="L45" t="s">
        <v>290</v>
      </c>
      <c r="N45" s="305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09375" defaultRowHeight="13.2"/>
  <cols>
    <col min="1" max="1" width="56.6640625" style="120" bestFit="1" customWidth="1"/>
    <col min="2" max="2" width="2.88671875" style="120" customWidth="1"/>
    <col min="3" max="3" width="10.88671875" style="120" bestFit="1" customWidth="1"/>
    <col min="4" max="4" width="7.5546875" style="120" bestFit="1" customWidth="1"/>
    <col min="5" max="5" width="9.33203125" style="120" bestFit="1" customWidth="1"/>
    <col min="6" max="6" width="9.88671875" style="120" bestFit="1" customWidth="1"/>
    <col min="7" max="7" width="7.33203125" style="120" bestFit="1" customWidth="1"/>
    <col min="8" max="8" width="9.33203125" style="120" bestFit="1" customWidth="1"/>
    <col min="9" max="9" width="10.33203125" style="120" bestFit="1" customWidth="1"/>
    <col min="10" max="10" width="15.88671875" style="120" customWidth="1"/>
    <col min="11" max="11" width="16.5546875" style="120" customWidth="1"/>
    <col min="12" max="12" width="14.5546875" style="120" customWidth="1"/>
    <col min="13" max="14" width="14.5546875" style="120" hidden="1" customWidth="1"/>
    <col min="15" max="15" width="9.109375" style="120" hidden="1" customWidth="1"/>
    <col min="16" max="16" width="15.44140625" style="120" hidden="1" customWidth="1"/>
    <col min="17" max="18" width="9.109375" style="120" hidden="1" customWidth="1"/>
    <col min="19" max="19" width="4.6640625" style="120" hidden="1" customWidth="1"/>
    <col min="20" max="20" width="41.33203125" style="120" hidden="1" customWidth="1"/>
    <col min="21" max="21" width="12.88671875" style="120" hidden="1" customWidth="1"/>
    <col min="22" max="22" width="26.33203125" style="120" hidden="1" customWidth="1"/>
    <col min="23" max="23" width="4.88671875" style="120" hidden="1" customWidth="1"/>
    <col min="24" max="25" width="11" style="120" hidden="1" customWidth="1"/>
    <col min="26" max="26" width="0" style="120" hidden="1" customWidth="1"/>
    <col min="27" max="27" width="43" style="120" customWidth="1"/>
    <col min="28" max="28" width="4" style="120" customWidth="1"/>
    <col min="29" max="29" width="10.109375" style="120" bestFit="1" customWidth="1"/>
    <col min="30" max="16384" width="9.109375" style="120"/>
  </cols>
  <sheetData>
    <row r="1" spans="1:18">
      <c r="A1" s="215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202">
        <v>41743.60204849537</v>
      </c>
      <c r="L1" s="179"/>
      <c r="M1" s="179"/>
      <c r="N1" s="179"/>
      <c r="O1" s="179"/>
      <c r="P1" s="179"/>
      <c r="Q1" s="179"/>
      <c r="R1" s="179"/>
    </row>
    <row r="2" spans="1:18">
      <c r="A2" s="215" t="s">
        <v>72</v>
      </c>
      <c r="B2" s="179"/>
      <c r="C2" s="198">
        <v>41729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>
      <c r="A3" s="179"/>
      <c r="B3" s="179"/>
      <c r="C3" s="179"/>
      <c r="D3" s="179"/>
      <c r="E3" s="187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>
      <c r="A4" s="179"/>
      <c r="B4" s="179"/>
      <c r="C4" s="267" t="s">
        <v>73</v>
      </c>
      <c r="D4" s="187" t="s">
        <v>74</v>
      </c>
      <c r="E4" s="221" t="s">
        <v>75</v>
      </c>
      <c r="F4" s="221" t="s">
        <v>76</v>
      </c>
      <c r="G4" s="192" t="s">
        <v>77</v>
      </c>
      <c r="H4" s="208" t="s">
        <v>78</v>
      </c>
      <c r="I4" s="179" t="s">
        <v>79</v>
      </c>
      <c r="J4" s="216" t="s">
        <v>80</v>
      </c>
      <c r="K4" s="194" t="s">
        <v>81</v>
      </c>
      <c r="L4" s="179"/>
      <c r="M4" s="179"/>
      <c r="N4" s="179"/>
      <c r="O4" s="179"/>
      <c r="P4" s="179"/>
      <c r="Q4" s="179"/>
      <c r="R4" s="179"/>
    </row>
    <row r="5" spans="1:18">
      <c r="A5" s="179" t="s">
        <v>82</v>
      </c>
      <c r="B5" s="179"/>
      <c r="C5" s="268">
        <v>41729</v>
      </c>
      <c r="D5" s="222">
        <v>41729</v>
      </c>
      <c r="E5" s="264">
        <v>41729</v>
      </c>
      <c r="F5" s="264">
        <v>41729</v>
      </c>
      <c r="G5" s="262">
        <v>41729</v>
      </c>
      <c r="H5" s="262">
        <v>41729</v>
      </c>
      <c r="I5" s="262">
        <v>41729</v>
      </c>
      <c r="J5" s="217" t="s">
        <v>83</v>
      </c>
      <c r="K5" s="195" t="s">
        <v>84</v>
      </c>
      <c r="L5" s="271" t="s">
        <v>85</v>
      </c>
      <c r="M5" s="196" t="s">
        <v>86</v>
      </c>
      <c r="N5" s="196" t="s">
        <v>73</v>
      </c>
      <c r="O5" s="196" t="s">
        <v>87</v>
      </c>
      <c r="P5" s="200" t="s">
        <v>75</v>
      </c>
      <c r="Q5" s="196" t="s">
        <v>88</v>
      </c>
      <c r="R5" s="203" t="s">
        <v>89</v>
      </c>
    </row>
    <row r="7" spans="1:18">
      <c r="A7" s="179"/>
      <c r="B7" s="179"/>
      <c r="C7" s="220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</row>
    <row r="8" spans="1:18">
      <c r="A8" s="179"/>
      <c r="B8" s="180"/>
      <c r="C8" s="180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pans="1:18">
      <c r="A9" s="179" t="s">
        <v>90</v>
      </c>
      <c r="B9" s="180"/>
      <c r="C9" s="180">
        <v>47067</v>
      </c>
      <c r="D9" s="180">
        <v>6</v>
      </c>
      <c r="E9" s="180">
        <v>3228</v>
      </c>
      <c r="F9" s="180">
        <v>1623</v>
      </c>
      <c r="G9" s="180">
        <v>-2</v>
      </c>
      <c r="H9" s="180">
        <v>0</v>
      </c>
      <c r="I9" s="180">
        <v>51922</v>
      </c>
      <c r="J9" s="180"/>
      <c r="K9" s="189"/>
      <c r="L9" s="189">
        <v>51922</v>
      </c>
      <c r="M9" s="189"/>
      <c r="N9" s="189">
        <v>47067</v>
      </c>
      <c r="O9" s="189"/>
      <c r="P9" s="189">
        <v>3228</v>
      </c>
      <c r="Q9" s="189"/>
      <c r="R9" s="189">
        <v>1623</v>
      </c>
    </row>
    <row r="10" spans="1:18">
      <c r="A10" s="179" t="s">
        <v>91</v>
      </c>
      <c r="B10" s="180"/>
      <c r="C10" s="220">
        <v>2765</v>
      </c>
      <c r="D10" s="180">
        <v>6</v>
      </c>
      <c r="E10" s="180">
        <v>2436</v>
      </c>
      <c r="F10" s="180">
        <v>1623</v>
      </c>
      <c r="G10" s="180">
        <v>-2</v>
      </c>
      <c r="H10" s="180"/>
      <c r="I10" s="189">
        <v>6828</v>
      </c>
      <c r="J10" s="189"/>
      <c r="K10" s="179"/>
      <c r="L10" s="189">
        <v>6828</v>
      </c>
      <c r="M10" s="189"/>
      <c r="N10" s="189">
        <v>2765</v>
      </c>
      <c r="O10" s="189"/>
      <c r="P10" s="189">
        <v>2436</v>
      </c>
      <c r="Q10" s="189"/>
      <c r="R10" s="189">
        <v>1623</v>
      </c>
    </row>
    <row r="11" spans="1:18">
      <c r="A11" s="179" t="s">
        <v>92</v>
      </c>
      <c r="B11" s="180"/>
      <c r="C11" s="207">
        <v>44302</v>
      </c>
      <c r="D11" s="179"/>
      <c r="E11" s="180">
        <v>792</v>
      </c>
      <c r="F11" s="180"/>
      <c r="G11" s="180"/>
      <c r="H11" s="180"/>
      <c r="I11" s="189">
        <v>45094</v>
      </c>
      <c r="J11" s="189"/>
      <c r="K11" s="179"/>
      <c r="L11" s="189">
        <v>45094</v>
      </c>
      <c r="M11" s="189"/>
      <c r="N11" s="189">
        <v>44302</v>
      </c>
      <c r="O11" s="189"/>
      <c r="P11" s="189">
        <v>792</v>
      </c>
      <c r="Q11" s="189"/>
      <c r="R11" s="189">
        <v>0</v>
      </c>
    </row>
    <row r="12" spans="1:18">
      <c r="A12" s="186" t="s">
        <v>93</v>
      </c>
      <c r="B12" s="180"/>
      <c r="C12" s="180"/>
      <c r="D12" s="179"/>
      <c r="E12" s="180"/>
      <c r="F12" s="180"/>
      <c r="G12" s="180"/>
      <c r="H12" s="180"/>
      <c r="I12" s="189">
        <v>0</v>
      </c>
      <c r="J12" s="189"/>
      <c r="K12" s="179"/>
      <c r="L12" s="189">
        <v>0</v>
      </c>
      <c r="M12" s="189"/>
      <c r="N12" s="189">
        <v>0</v>
      </c>
      <c r="O12" s="189"/>
      <c r="P12" s="189">
        <v>0</v>
      </c>
      <c r="Q12" s="189"/>
      <c r="R12" s="189">
        <v>0</v>
      </c>
    </row>
    <row r="13" spans="1:18">
      <c r="A13" s="179" t="s">
        <v>94</v>
      </c>
      <c r="B13" s="180"/>
      <c r="C13" s="259">
        <v>196506</v>
      </c>
      <c r="D13" s="179"/>
      <c r="E13" s="180">
        <v>2697</v>
      </c>
      <c r="F13" s="179"/>
      <c r="G13" s="180">
        <v>239</v>
      </c>
      <c r="H13" s="180"/>
      <c r="I13" s="189">
        <v>199442</v>
      </c>
      <c r="J13" s="189"/>
      <c r="K13" s="180">
        <v>6013</v>
      </c>
      <c r="L13" s="189">
        <v>193429</v>
      </c>
      <c r="M13" s="189"/>
      <c r="N13" s="189">
        <v>196506</v>
      </c>
      <c r="O13" s="189"/>
      <c r="P13" s="189">
        <v>2697</v>
      </c>
      <c r="Q13" s="189"/>
      <c r="R13" s="189">
        <v>0</v>
      </c>
    </row>
    <row r="14" spans="1:18">
      <c r="A14" s="179" t="s">
        <v>95</v>
      </c>
      <c r="B14" s="180"/>
      <c r="C14" s="259">
        <v>-3365</v>
      </c>
      <c r="D14" s="179"/>
      <c r="E14" s="180"/>
      <c r="F14" s="179"/>
      <c r="G14" s="179"/>
      <c r="H14" s="180"/>
      <c r="I14" s="189">
        <v>-3365</v>
      </c>
      <c r="J14" s="189"/>
      <c r="K14" s="180"/>
      <c r="L14" s="189">
        <v>-3365</v>
      </c>
      <c r="M14" s="189"/>
      <c r="N14" s="189">
        <v>-3365</v>
      </c>
      <c r="O14" s="189"/>
      <c r="P14" s="189">
        <v>0</v>
      </c>
      <c r="Q14" s="189"/>
      <c r="R14" s="189">
        <v>0</v>
      </c>
    </row>
    <row r="15" spans="1:18">
      <c r="A15" s="179" t="s">
        <v>96</v>
      </c>
      <c r="B15" s="180"/>
      <c r="C15" s="273">
        <v>181336</v>
      </c>
      <c r="D15" s="179"/>
      <c r="E15" s="180">
        <v>4930</v>
      </c>
      <c r="F15" s="179"/>
      <c r="G15" s="179"/>
      <c r="H15" s="180"/>
      <c r="I15" s="189">
        <v>186266</v>
      </c>
      <c r="J15" s="204">
        <v>0</v>
      </c>
      <c r="K15" s="207">
        <v>2470</v>
      </c>
      <c r="L15" s="189">
        <v>183796</v>
      </c>
      <c r="M15" s="189"/>
      <c r="N15" s="189">
        <v>181336</v>
      </c>
      <c r="O15" s="189"/>
      <c r="P15" s="189">
        <v>4930</v>
      </c>
      <c r="Q15" s="189"/>
      <c r="R15" s="189">
        <v>0</v>
      </c>
    </row>
    <row r="16" spans="1:18">
      <c r="A16" s="179" t="s">
        <v>97</v>
      </c>
      <c r="B16" s="180"/>
      <c r="C16" s="207">
        <v>12573</v>
      </c>
      <c r="D16" s="179"/>
      <c r="E16" s="180">
        <v>469</v>
      </c>
      <c r="F16" s="180">
        <v>1073</v>
      </c>
      <c r="G16" s="180">
        <v>9</v>
      </c>
      <c r="H16" s="180"/>
      <c r="I16" s="189">
        <v>14124</v>
      </c>
      <c r="J16" s="189"/>
      <c r="K16" s="180"/>
      <c r="L16" s="189">
        <v>14124</v>
      </c>
      <c r="M16" s="189"/>
      <c r="N16" s="189">
        <v>12573</v>
      </c>
      <c r="O16" s="189"/>
      <c r="P16" s="189">
        <v>469</v>
      </c>
      <c r="Q16" s="189"/>
      <c r="R16" s="189">
        <v>1073</v>
      </c>
    </row>
    <row r="17" spans="1:18">
      <c r="A17" s="186" t="s">
        <v>98</v>
      </c>
      <c r="B17" s="180"/>
      <c r="C17" s="207"/>
      <c r="D17" s="179"/>
      <c r="E17" s="180"/>
      <c r="F17" s="179"/>
      <c r="G17" s="180"/>
      <c r="H17" s="180"/>
      <c r="I17" s="189">
        <v>0</v>
      </c>
      <c r="J17" s="189"/>
      <c r="K17" s="180"/>
      <c r="L17" s="189">
        <v>0</v>
      </c>
      <c r="M17" s="189"/>
      <c r="N17" s="189">
        <v>0</v>
      </c>
      <c r="O17" s="189"/>
      <c r="P17" s="189">
        <v>0</v>
      </c>
      <c r="Q17" s="189"/>
      <c r="R17" s="189">
        <v>0</v>
      </c>
    </row>
    <row r="18" spans="1:18">
      <c r="A18" s="179" t="s">
        <v>99</v>
      </c>
      <c r="B18" s="180"/>
      <c r="C18" s="205">
        <v>4454</v>
      </c>
      <c r="D18" s="179"/>
      <c r="E18" s="180"/>
      <c r="F18" s="179"/>
      <c r="G18" s="180"/>
      <c r="H18" s="180"/>
      <c r="I18" s="189">
        <v>4454</v>
      </c>
      <c r="J18" s="189"/>
      <c r="K18" s="180"/>
      <c r="L18" s="189">
        <v>4454</v>
      </c>
      <c r="M18" s="189"/>
      <c r="N18" s="189">
        <v>4454</v>
      </c>
      <c r="O18" s="189"/>
      <c r="P18" s="189">
        <v>0</v>
      </c>
      <c r="Q18" s="189"/>
      <c r="R18" s="189">
        <v>0</v>
      </c>
    </row>
    <row r="19" spans="1:18">
      <c r="A19" s="179" t="s">
        <v>100</v>
      </c>
      <c r="B19" s="180"/>
      <c r="C19" s="207">
        <v>31914</v>
      </c>
      <c r="D19" s="179"/>
      <c r="E19" s="180">
        <v>618</v>
      </c>
      <c r="F19" s="204">
        <v>2128</v>
      </c>
      <c r="G19" s="180"/>
      <c r="H19" s="180"/>
      <c r="I19" s="189">
        <v>34660</v>
      </c>
      <c r="J19" s="189"/>
      <c r="K19" s="180">
        <v>10979</v>
      </c>
      <c r="L19" s="189">
        <v>23681</v>
      </c>
      <c r="M19" s="189"/>
      <c r="N19" s="189">
        <v>31914</v>
      </c>
      <c r="O19" s="189"/>
      <c r="P19" s="189">
        <v>618</v>
      </c>
      <c r="Q19" s="189"/>
      <c r="R19" s="189">
        <v>2128</v>
      </c>
    </row>
    <row r="20" spans="1:18">
      <c r="A20" s="186" t="s">
        <v>101</v>
      </c>
      <c r="B20" s="180"/>
      <c r="C20" s="209"/>
      <c r="D20" s="191"/>
      <c r="E20" s="181"/>
      <c r="F20" s="209">
        <v>14470</v>
      </c>
      <c r="G20" s="181"/>
      <c r="H20" s="181"/>
      <c r="I20" s="190">
        <v>14470</v>
      </c>
      <c r="J20" s="190"/>
      <c r="K20" s="209">
        <v>14470</v>
      </c>
      <c r="L20" s="190">
        <v>0</v>
      </c>
      <c r="M20" s="191"/>
      <c r="N20" s="190">
        <v>0</v>
      </c>
      <c r="O20" s="181"/>
      <c r="P20" s="190">
        <v>0</v>
      </c>
      <c r="Q20" s="181"/>
      <c r="R20" s="190">
        <v>14470</v>
      </c>
    </row>
    <row r="21" spans="1:18">
      <c r="A21" s="179" t="s">
        <v>102</v>
      </c>
      <c r="B21" s="180"/>
      <c r="C21" s="207">
        <v>470485</v>
      </c>
      <c r="D21" s="180">
        <v>6</v>
      </c>
      <c r="E21" s="180">
        <v>11942</v>
      </c>
      <c r="F21" s="180">
        <v>19294</v>
      </c>
      <c r="G21" s="180">
        <v>246</v>
      </c>
      <c r="H21" s="180">
        <v>0</v>
      </c>
      <c r="I21" s="180">
        <v>501973</v>
      </c>
      <c r="J21" s="180">
        <v>0</v>
      </c>
      <c r="K21" s="180">
        <v>33932</v>
      </c>
      <c r="L21" s="180">
        <v>468041</v>
      </c>
      <c r="M21" s="180">
        <v>0</v>
      </c>
      <c r="N21" s="180">
        <v>470485</v>
      </c>
      <c r="O21" s="180">
        <v>0</v>
      </c>
      <c r="P21" s="180">
        <v>11942</v>
      </c>
      <c r="Q21" s="180">
        <v>0</v>
      </c>
      <c r="R21" s="180">
        <v>19294</v>
      </c>
    </row>
    <row r="22" spans="1:18">
      <c r="A22" s="179"/>
      <c r="B22" s="180"/>
      <c r="C22" s="207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18">
      <c r="A23" s="179" t="s">
        <v>103</v>
      </c>
      <c r="B23" s="180"/>
      <c r="C23" s="207">
        <v>8625</v>
      </c>
      <c r="D23" s="179"/>
      <c r="E23" s="180"/>
      <c r="F23" s="179"/>
      <c r="G23" s="180"/>
      <c r="H23" s="180"/>
      <c r="I23" s="189">
        <v>8625</v>
      </c>
      <c r="J23" s="189"/>
      <c r="K23" s="180"/>
      <c r="L23" s="189">
        <v>8625</v>
      </c>
      <c r="M23" s="179"/>
      <c r="N23" s="189">
        <v>8625</v>
      </c>
      <c r="O23" s="179"/>
      <c r="P23" s="189">
        <v>0</v>
      </c>
      <c r="Q23" s="179"/>
      <c r="R23" s="189">
        <v>0</v>
      </c>
    </row>
    <row r="24" spans="1:18">
      <c r="A24" s="186" t="s">
        <v>104</v>
      </c>
      <c r="B24" s="180"/>
      <c r="C24" s="207">
        <v>4570</v>
      </c>
      <c r="D24" s="179"/>
      <c r="E24" s="180"/>
      <c r="F24" s="180"/>
      <c r="G24" s="180"/>
      <c r="H24" s="180"/>
      <c r="I24" s="189">
        <v>4570</v>
      </c>
      <c r="J24" s="189"/>
      <c r="K24" s="180"/>
      <c r="L24" s="189">
        <v>4570</v>
      </c>
      <c r="M24" s="179"/>
      <c r="N24" s="189">
        <v>4570</v>
      </c>
      <c r="O24" s="179"/>
      <c r="P24" s="189">
        <v>0</v>
      </c>
      <c r="Q24" s="179"/>
      <c r="R24" s="189">
        <v>0</v>
      </c>
    </row>
    <row r="25" spans="1:18">
      <c r="A25" s="179" t="s">
        <v>105</v>
      </c>
      <c r="B25" s="179"/>
      <c r="C25" s="207">
        <v>24707</v>
      </c>
      <c r="D25" s="186"/>
      <c r="E25" s="180"/>
      <c r="F25" s="179"/>
      <c r="G25" s="180"/>
      <c r="H25" s="180"/>
      <c r="I25" s="189">
        <v>24707</v>
      </c>
      <c r="J25" s="189"/>
      <c r="K25" s="179"/>
      <c r="L25" s="189">
        <v>24707</v>
      </c>
      <c r="M25" s="189"/>
      <c r="N25" s="189">
        <v>24707</v>
      </c>
      <c r="O25" s="189"/>
      <c r="P25" s="189">
        <v>0</v>
      </c>
      <c r="Q25" s="189"/>
      <c r="R25" s="189">
        <v>0</v>
      </c>
    </row>
    <row r="26" spans="1:18">
      <c r="A26" s="186" t="s">
        <v>106</v>
      </c>
      <c r="B26" s="180"/>
      <c r="C26" s="259">
        <v>7806</v>
      </c>
      <c r="D26" s="179"/>
      <c r="E26" s="180"/>
      <c r="F26" s="179"/>
      <c r="G26" s="180"/>
      <c r="H26" s="180"/>
      <c r="I26" s="189">
        <v>7806</v>
      </c>
      <c r="J26" s="189"/>
      <c r="K26" s="179"/>
      <c r="L26" s="189">
        <v>7806</v>
      </c>
      <c r="M26" s="189"/>
      <c r="N26" s="189">
        <v>7806</v>
      </c>
      <c r="O26" s="189"/>
      <c r="P26" s="189">
        <v>0</v>
      </c>
      <c r="Q26" s="189"/>
      <c r="R26" s="189">
        <v>0</v>
      </c>
    </row>
    <row r="27" spans="1:18">
      <c r="A27" s="179" t="s">
        <v>107</v>
      </c>
      <c r="B27" s="180"/>
      <c r="C27" s="207">
        <v>246</v>
      </c>
      <c r="D27" s="179"/>
      <c r="E27" s="180">
        <v>9</v>
      </c>
      <c r="F27" s="179"/>
      <c r="G27" s="180"/>
      <c r="H27" s="180"/>
      <c r="I27" s="189">
        <v>255</v>
      </c>
      <c r="J27" s="189"/>
      <c r="K27" s="179"/>
      <c r="L27" s="189">
        <v>255</v>
      </c>
      <c r="M27" s="189"/>
      <c r="N27" s="189">
        <v>246</v>
      </c>
      <c r="O27" s="189"/>
      <c r="P27" s="189">
        <v>9</v>
      </c>
      <c r="Q27" s="189"/>
      <c r="R27" s="189">
        <v>0</v>
      </c>
    </row>
    <row r="28" spans="1:18">
      <c r="A28" s="186" t="s">
        <v>108</v>
      </c>
      <c r="B28" s="180"/>
      <c r="C28" s="207">
        <v>2144</v>
      </c>
      <c r="D28" s="179"/>
      <c r="E28" s="180"/>
      <c r="F28" s="179"/>
      <c r="G28" s="180"/>
      <c r="H28" s="180"/>
      <c r="I28" s="189">
        <v>2144</v>
      </c>
      <c r="J28" s="189"/>
      <c r="K28" s="179"/>
      <c r="L28" s="189">
        <v>2144</v>
      </c>
      <c r="M28" s="189"/>
      <c r="N28" s="189">
        <v>2144</v>
      </c>
      <c r="O28" s="189"/>
      <c r="P28" s="189">
        <v>0</v>
      </c>
      <c r="Q28" s="189"/>
      <c r="R28" s="189">
        <v>0</v>
      </c>
    </row>
    <row r="29" spans="1:18">
      <c r="A29" s="186" t="s">
        <v>109</v>
      </c>
      <c r="B29" s="180"/>
      <c r="C29" s="209"/>
      <c r="D29" s="191"/>
      <c r="E29" s="181"/>
      <c r="F29" s="191"/>
      <c r="G29" s="181"/>
      <c r="H29" s="181"/>
      <c r="I29" s="190">
        <v>0</v>
      </c>
      <c r="J29" s="190"/>
      <c r="K29" s="191"/>
      <c r="L29" s="190">
        <v>0</v>
      </c>
      <c r="M29" s="190"/>
      <c r="N29" s="190">
        <v>0</v>
      </c>
      <c r="O29" s="190"/>
      <c r="P29" s="190">
        <v>0</v>
      </c>
      <c r="Q29" s="190"/>
      <c r="R29" s="190">
        <v>0</v>
      </c>
    </row>
    <row r="30" spans="1:18">
      <c r="A30" s="179" t="s">
        <v>110</v>
      </c>
      <c r="B30" s="180"/>
      <c r="C30" s="207">
        <v>48098</v>
      </c>
      <c r="D30" s="180">
        <v>0</v>
      </c>
      <c r="E30" s="180">
        <v>9</v>
      </c>
      <c r="F30" s="180">
        <v>0</v>
      </c>
      <c r="G30" s="180"/>
      <c r="H30" s="180">
        <v>0</v>
      </c>
      <c r="I30" s="180">
        <v>48107</v>
      </c>
      <c r="J30" s="180"/>
      <c r="K30" s="179"/>
      <c r="L30" s="180">
        <v>48107</v>
      </c>
      <c r="M30" s="180">
        <v>0</v>
      </c>
      <c r="N30" s="180">
        <v>48098</v>
      </c>
      <c r="O30" s="180">
        <v>0</v>
      </c>
      <c r="P30" s="180">
        <v>9</v>
      </c>
      <c r="Q30" s="180">
        <v>0</v>
      </c>
      <c r="R30" s="180">
        <v>0</v>
      </c>
    </row>
    <row r="31" spans="1:18">
      <c r="A31" s="179"/>
      <c r="B31" s="180"/>
      <c r="C31" s="207"/>
      <c r="D31" s="179"/>
      <c r="E31" s="180"/>
      <c r="F31" s="179"/>
      <c r="G31" s="180"/>
      <c r="H31" s="180"/>
      <c r="I31" s="179"/>
      <c r="J31" s="179"/>
      <c r="K31" s="179"/>
      <c r="L31" s="179"/>
      <c r="M31" s="179"/>
      <c r="N31" s="179"/>
      <c r="O31" s="179"/>
      <c r="P31" s="179"/>
      <c r="Q31" s="179"/>
      <c r="R31" s="179"/>
    </row>
    <row r="32" spans="1:18">
      <c r="A32" s="179"/>
      <c r="B32" s="179"/>
      <c r="C32" s="187"/>
      <c r="D32" s="179"/>
      <c r="E32" s="180"/>
      <c r="F32" s="179"/>
      <c r="G32" s="180"/>
      <c r="H32" s="180"/>
      <c r="I32" s="179"/>
      <c r="J32" s="179"/>
      <c r="K32" s="179"/>
      <c r="L32" s="179"/>
      <c r="M32" s="179"/>
      <c r="N32" s="179"/>
      <c r="O32" s="179"/>
      <c r="P32" s="179"/>
      <c r="Q32" s="179"/>
      <c r="R32" s="179"/>
    </row>
    <row r="33" spans="1:19">
      <c r="A33" s="179"/>
      <c r="B33" s="180"/>
      <c r="C33" s="207"/>
      <c r="D33" s="179"/>
      <c r="E33" s="180"/>
      <c r="F33" s="179"/>
      <c r="G33" s="180"/>
      <c r="H33" s="180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</row>
    <row r="34" spans="1:19">
      <c r="A34" s="179" t="s">
        <v>111</v>
      </c>
      <c r="B34" s="180"/>
      <c r="C34" s="207">
        <v>58</v>
      </c>
      <c r="D34" s="179"/>
      <c r="E34" s="197">
        <v>0</v>
      </c>
      <c r="F34" s="207">
        <v>350886</v>
      </c>
      <c r="G34" s="180">
        <v>0</v>
      </c>
      <c r="H34" s="180"/>
      <c r="I34" s="189">
        <v>350944</v>
      </c>
      <c r="J34" s="189"/>
      <c r="K34" s="180">
        <v>350944</v>
      </c>
      <c r="L34" s="189">
        <v>0</v>
      </c>
      <c r="M34" s="189"/>
      <c r="N34" s="189">
        <v>58</v>
      </c>
      <c r="O34" s="189">
        <v>0</v>
      </c>
      <c r="P34" s="189">
        <v>0</v>
      </c>
      <c r="Q34" s="189">
        <v>0</v>
      </c>
      <c r="R34" s="189">
        <v>350886</v>
      </c>
      <c r="S34" s="179"/>
    </row>
    <row r="35" spans="1:19">
      <c r="A35" s="186" t="s">
        <v>112</v>
      </c>
      <c r="B35" s="180"/>
      <c r="C35" s="207">
        <v>78346</v>
      </c>
      <c r="D35" s="179"/>
      <c r="E35" s="180">
        <v>0</v>
      </c>
      <c r="F35" s="180">
        <v>0</v>
      </c>
      <c r="G35" s="180"/>
      <c r="H35" s="180"/>
      <c r="I35" s="189">
        <v>78346</v>
      </c>
      <c r="J35" s="204"/>
      <c r="K35" s="180"/>
      <c r="L35" s="189">
        <v>78346</v>
      </c>
      <c r="M35" s="189"/>
      <c r="N35" s="189">
        <v>78346</v>
      </c>
      <c r="O35" s="189"/>
      <c r="P35" s="189">
        <v>0</v>
      </c>
      <c r="Q35" s="189"/>
      <c r="R35" s="189">
        <v>0</v>
      </c>
      <c r="S35" s="189">
        <v>0</v>
      </c>
    </row>
    <row r="36" spans="1:19">
      <c r="A36" s="186" t="s">
        <v>113</v>
      </c>
      <c r="B36" s="180"/>
      <c r="C36" s="180">
        <v>103</v>
      </c>
      <c r="D36" s="179"/>
      <c r="E36" s="197"/>
      <c r="F36" s="180"/>
      <c r="G36" s="180"/>
      <c r="H36" s="180"/>
      <c r="I36" s="189">
        <v>103</v>
      </c>
      <c r="J36" s="204"/>
      <c r="K36" s="189"/>
      <c r="L36" s="189">
        <v>103</v>
      </c>
      <c r="M36" s="189"/>
      <c r="N36" s="189">
        <v>103</v>
      </c>
      <c r="O36" s="189"/>
      <c r="P36" s="189">
        <v>0</v>
      </c>
      <c r="Q36" s="189"/>
      <c r="R36" s="189">
        <v>0</v>
      </c>
      <c r="S36" s="179"/>
    </row>
    <row r="37" spans="1:19">
      <c r="A37" s="179" t="s">
        <v>114</v>
      </c>
      <c r="B37" s="180"/>
      <c r="C37" s="180">
        <v>40115</v>
      </c>
      <c r="D37" s="179"/>
      <c r="E37" s="180">
        <v>2194</v>
      </c>
      <c r="F37" s="179"/>
      <c r="G37" s="180"/>
      <c r="H37" s="180"/>
      <c r="I37" s="189">
        <v>42309</v>
      </c>
      <c r="J37" s="204"/>
      <c r="K37" s="179"/>
      <c r="L37" s="189">
        <v>42309</v>
      </c>
      <c r="M37" s="189">
        <v>0</v>
      </c>
      <c r="N37" s="189">
        <v>40115</v>
      </c>
      <c r="O37" s="189"/>
      <c r="P37" s="189">
        <v>2194</v>
      </c>
      <c r="Q37" s="189"/>
      <c r="R37" s="189">
        <v>0</v>
      </c>
      <c r="S37" s="179"/>
    </row>
    <row r="38" spans="1:19">
      <c r="A38" s="179" t="s">
        <v>115</v>
      </c>
      <c r="B38" s="180"/>
      <c r="C38" s="207">
        <v>39003</v>
      </c>
      <c r="D38" s="179"/>
      <c r="E38" s="180">
        <v>24101</v>
      </c>
      <c r="F38" s="180">
        <v>74959</v>
      </c>
      <c r="G38" s="180"/>
      <c r="H38" s="180"/>
      <c r="I38" s="189">
        <v>138063</v>
      </c>
      <c r="J38" s="204"/>
      <c r="K38" s="179"/>
      <c r="L38" s="189">
        <v>138063</v>
      </c>
      <c r="M38" s="189"/>
      <c r="N38" s="189">
        <v>39003</v>
      </c>
      <c r="O38" s="189"/>
      <c r="P38" s="189">
        <v>24101</v>
      </c>
      <c r="Q38" s="189"/>
      <c r="R38" s="189"/>
      <c r="S38" s="179"/>
    </row>
    <row r="39" spans="1:19">
      <c r="A39" s="179"/>
      <c r="B39" s="180"/>
      <c r="C39" s="181"/>
      <c r="D39" s="191"/>
      <c r="E39" s="181"/>
      <c r="F39" s="191"/>
      <c r="G39" s="181"/>
      <c r="H39" s="18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79"/>
    </row>
    <row r="40" spans="1:19">
      <c r="A40" s="179" t="s">
        <v>116</v>
      </c>
      <c r="B40" s="180"/>
      <c r="C40" s="180">
        <v>157625</v>
      </c>
      <c r="D40" s="179"/>
      <c r="E40" s="180">
        <v>26295</v>
      </c>
      <c r="F40" s="180">
        <v>425845</v>
      </c>
      <c r="G40" s="180">
        <v>0</v>
      </c>
      <c r="H40" s="180">
        <v>0</v>
      </c>
      <c r="I40" s="180">
        <v>609765</v>
      </c>
      <c r="J40" s="180">
        <v>0</v>
      </c>
      <c r="K40" s="180">
        <v>350944</v>
      </c>
      <c r="L40" s="180">
        <v>258821</v>
      </c>
      <c r="M40" s="180">
        <v>0</v>
      </c>
      <c r="N40" s="180">
        <v>157625</v>
      </c>
      <c r="O40" s="180">
        <v>0</v>
      </c>
      <c r="P40" s="180">
        <v>26295</v>
      </c>
      <c r="Q40" s="180">
        <v>0</v>
      </c>
      <c r="R40" s="180">
        <v>350886</v>
      </c>
      <c r="S40" s="179"/>
    </row>
    <row r="41" spans="1:19">
      <c r="A41" s="179"/>
      <c r="B41" s="180"/>
      <c r="C41" s="180"/>
      <c r="D41" s="179"/>
      <c r="E41" s="180"/>
      <c r="F41" s="180"/>
      <c r="G41" s="180"/>
      <c r="H41" s="180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</row>
    <row r="42" spans="1:19" ht="13.8" thickBot="1">
      <c r="A42" s="179" t="s">
        <v>117</v>
      </c>
      <c r="B42" s="180"/>
      <c r="C42" s="182">
        <v>676208</v>
      </c>
      <c r="D42" s="182">
        <v>6</v>
      </c>
      <c r="E42" s="182">
        <v>38246</v>
      </c>
      <c r="F42" s="182">
        <v>445139</v>
      </c>
      <c r="G42" s="182">
        <v>246</v>
      </c>
      <c r="H42" s="182">
        <v>0</v>
      </c>
      <c r="I42" s="182">
        <v>1159845</v>
      </c>
      <c r="J42" s="182">
        <v>0</v>
      </c>
      <c r="K42" s="182">
        <v>384876</v>
      </c>
      <c r="L42" s="182">
        <v>774969</v>
      </c>
      <c r="M42" s="182">
        <v>0</v>
      </c>
      <c r="N42" s="182">
        <v>676208</v>
      </c>
      <c r="O42" s="182">
        <v>0</v>
      </c>
      <c r="P42" s="182">
        <v>38246</v>
      </c>
      <c r="Q42" s="182">
        <v>0</v>
      </c>
      <c r="R42" s="182">
        <v>370180</v>
      </c>
      <c r="S42" s="179"/>
    </row>
    <row r="43" spans="1:19" ht="13.8" thickTop="1">
      <c r="A43" s="179"/>
      <c r="B43" s="179"/>
      <c r="C43" s="179"/>
      <c r="D43" s="179"/>
      <c r="E43" s="180"/>
      <c r="F43" s="179"/>
      <c r="G43" s="180"/>
      <c r="H43" s="180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</row>
    <row r="44" spans="1:19">
      <c r="A44" s="179"/>
      <c r="B44" s="179"/>
      <c r="C44" s="189"/>
      <c r="D44" s="179"/>
      <c r="E44" s="179"/>
      <c r="F44" s="189"/>
      <c r="G44" s="180"/>
      <c r="H44" s="180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</row>
    <row r="45" spans="1:19">
      <c r="A45" s="179"/>
      <c r="B45" s="179"/>
      <c r="C45" s="189"/>
      <c r="D45" s="179"/>
      <c r="E45" s="179"/>
      <c r="F45" s="179"/>
      <c r="G45" s="189"/>
      <c r="H45" s="18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</row>
    <row r="46" spans="1:19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265" t="s">
        <v>118</v>
      </c>
      <c r="M46" s="179"/>
      <c r="N46" s="179"/>
      <c r="O46" s="179"/>
      <c r="P46" s="179"/>
      <c r="Q46" s="179"/>
      <c r="R46" s="179"/>
      <c r="S46" s="179"/>
    </row>
    <row r="47" spans="1:19">
      <c r="A47" s="179" t="s">
        <v>71</v>
      </c>
      <c r="B47" s="179"/>
      <c r="C47" s="179"/>
      <c r="D47" s="179"/>
      <c r="E47" s="179"/>
      <c r="F47" s="179"/>
      <c r="G47" s="179"/>
      <c r="H47" s="179"/>
      <c r="I47" s="189">
        <v>0</v>
      </c>
      <c r="J47" s="18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>
      <c r="A48" s="179" t="s">
        <v>72</v>
      </c>
      <c r="B48" s="179"/>
      <c r="C48" s="198">
        <v>41729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202">
        <v>41743.60204849537</v>
      </c>
      <c r="R48" s="179"/>
      <c r="S48" s="179"/>
    </row>
    <row r="50" spans="1:21">
      <c r="A50" s="179"/>
      <c r="B50" s="179"/>
      <c r="C50" s="221" t="s">
        <v>73</v>
      </c>
      <c r="D50" s="179" t="s">
        <v>74</v>
      </c>
      <c r="E50" s="221" t="s">
        <v>75</v>
      </c>
      <c r="F50" s="192" t="s">
        <v>76</v>
      </c>
      <c r="G50" s="192" t="s">
        <v>77</v>
      </c>
      <c r="H50" s="192" t="s">
        <v>78</v>
      </c>
      <c r="I50" s="179" t="s">
        <v>79</v>
      </c>
      <c r="J50" s="216" t="s">
        <v>80</v>
      </c>
      <c r="K50" s="194" t="s">
        <v>81</v>
      </c>
      <c r="L50" s="179"/>
      <c r="M50" s="179"/>
      <c r="N50" s="179"/>
      <c r="O50" s="179"/>
      <c r="P50" s="179"/>
      <c r="Q50" s="179"/>
      <c r="R50" s="179"/>
      <c r="S50" s="179"/>
      <c r="T50" s="179"/>
      <c r="U50" s="179"/>
    </row>
    <row r="51" spans="1:21">
      <c r="A51" s="179" t="s">
        <v>82</v>
      </c>
      <c r="B51" s="179"/>
      <c r="C51" s="222">
        <v>41729</v>
      </c>
      <c r="D51" s="193">
        <v>41729</v>
      </c>
      <c r="E51" s="222">
        <v>41729</v>
      </c>
      <c r="F51" s="193">
        <v>41729</v>
      </c>
      <c r="G51" s="193">
        <v>41729</v>
      </c>
      <c r="H51" s="193">
        <v>41729</v>
      </c>
      <c r="I51" s="193">
        <v>41729</v>
      </c>
      <c r="J51" s="217" t="s">
        <v>83</v>
      </c>
      <c r="K51" s="195" t="s">
        <v>84</v>
      </c>
      <c r="L51" s="195" t="s">
        <v>85</v>
      </c>
      <c r="M51" s="195" t="s">
        <v>86</v>
      </c>
      <c r="N51" s="195" t="s">
        <v>73</v>
      </c>
      <c r="O51" s="196" t="s">
        <v>119</v>
      </c>
      <c r="P51" s="200" t="s">
        <v>120</v>
      </c>
      <c r="Q51" s="196" t="s">
        <v>88</v>
      </c>
      <c r="R51" s="200" t="s">
        <v>89</v>
      </c>
      <c r="S51" s="179"/>
      <c r="T51" s="179"/>
      <c r="U51" s="179"/>
    </row>
    <row r="52" spans="1:21">
      <c r="A52" s="179"/>
      <c r="B52" s="179"/>
      <c r="C52" s="179"/>
      <c r="D52" s="179"/>
      <c r="E52" s="187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>
      <c r="A53" s="179" t="s">
        <v>121</v>
      </c>
      <c r="B53" s="180"/>
      <c r="C53" s="207">
        <v>54420</v>
      </c>
      <c r="D53" s="187"/>
      <c r="E53" s="187"/>
      <c r="F53" s="187"/>
      <c r="G53" s="187"/>
      <c r="H53" s="187"/>
      <c r="I53" s="204">
        <v>54420</v>
      </c>
      <c r="J53" s="204">
        <v>13642</v>
      </c>
      <c r="K53" s="187"/>
      <c r="L53" s="204">
        <v>68062</v>
      </c>
      <c r="M53" s="189"/>
      <c r="N53" s="189"/>
      <c r="O53" s="180"/>
      <c r="P53" s="189">
        <v>0</v>
      </c>
      <c r="Q53" s="189"/>
      <c r="R53" s="189">
        <v>0</v>
      </c>
      <c r="S53" s="179"/>
      <c r="T53" s="179"/>
      <c r="U53" s="179"/>
    </row>
    <row r="54" spans="1:21">
      <c r="A54" s="179" t="s">
        <v>122</v>
      </c>
      <c r="B54" s="180"/>
      <c r="C54" s="205">
        <v>32032</v>
      </c>
      <c r="D54" s="187"/>
      <c r="E54" s="207">
        <v>6242</v>
      </c>
      <c r="F54" s="269">
        <v>47</v>
      </c>
      <c r="G54" s="187">
        <v>6</v>
      </c>
      <c r="H54" s="207"/>
      <c r="I54" s="204">
        <v>38327</v>
      </c>
      <c r="J54" s="272">
        <v>-13642</v>
      </c>
      <c r="K54" s="207">
        <v>6013</v>
      </c>
      <c r="L54" s="204">
        <v>18672</v>
      </c>
      <c r="M54" s="189"/>
      <c r="N54" s="189"/>
      <c r="O54" s="180"/>
      <c r="P54" s="189">
        <v>6242</v>
      </c>
      <c r="Q54" s="189"/>
      <c r="R54" s="189">
        <v>47</v>
      </c>
      <c r="S54" s="179"/>
      <c r="T54" s="179"/>
      <c r="U54" s="179"/>
    </row>
    <row r="55" spans="1:21">
      <c r="A55" s="179" t="s">
        <v>123</v>
      </c>
      <c r="B55" s="180"/>
      <c r="C55" s="259">
        <v>7041</v>
      </c>
      <c r="D55" s="187"/>
      <c r="E55" s="187">
        <v>37</v>
      </c>
      <c r="F55" s="269">
        <v>9</v>
      </c>
      <c r="G55" s="207">
        <v>45</v>
      </c>
      <c r="H55" s="207"/>
      <c r="I55" s="204">
        <v>7132</v>
      </c>
      <c r="J55" s="204"/>
      <c r="K55" s="187"/>
      <c r="L55" s="204">
        <v>7132</v>
      </c>
      <c r="M55" s="189"/>
      <c r="N55" s="189"/>
      <c r="O55" s="180"/>
      <c r="P55" s="189">
        <v>37</v>
      </c>
      <c r="Q55" s="189"/>
      <c r="R55" s="189">
        <v>9</v>
      </c>
      <c r="S55" s="179"/>
      <c r="T55" s="179"/>
      <c r="U55" s="259">
        <v>7262</v>
      </c>
    </row>
    <row r="56" spans="1:21">
      <c r="A56" s="186" t="s">
        <v>98</v>
      </c>
      <c r="B56" s="180"/>
      <c r="C56" s="207">
        <v>1943</v>
      </c>
      <c r="D56" s="187"/>
      <c r="E56" s="187"/>
      <c r="F56" s="207"/>
      <c r="G56" s="207"/>
      <c r="H56" s="207"/>
      <c r="I56" s="204">
        <v>1943</v>
      </c>
      <c r="J56" s="204"/>
      <c r="K56" s="187"/>
      <c r="L56" s="204">
        <v>1943</v>
      </c>
      <c r="M56" s="189"/>
      <c r="N56" s="189"/>
      <c r="O56" s="180"/>
      <c r="P56" s="189">
        <v>0</v>
      </c>
      <c r="Q56" s="189"/>
      <c r="R56" s="189">
        <v>0</v>
      </c>
      <c r="S56" s="179"/>
      <c r="T56" s="179"/>
      <c r="U56" s="179"/>
    </row>
    <row r="57" spans="1:21">
      <c r="A57" s="179" t="s">
        <v>124</v>
      </c>
      <c r="B57" s="180"/>
      <c r="C57" s="207">
        <v>9414</v>
      </c>
      <c r="D57" s="187"/>
      <c r="E57" s="187">
        <v>480</v>
      </c>
      <c r="F57" s="269">
        <v>8</v>
      </c>
      <c r="G57" s="207"/>
      <c r="H57" s="207"/>
      <c r="I57" s="204">
        <v>9902</v>
      </c>
      <c r="J57" s="204"/>
      <c r="K57" s="187"/>
      <c r="L57" s="204">
        <v>9902</v>
      </c>
      <c r="M57" s="189"/>
      <c r="N57" s="189"/>
      <c r="O57" s="180"/>
      <c r="P57" s="189">
        <v>480</v>
      </c>
      <c r="Q57" s="189"/>
      <c r="R57" s="189">
        <v>8</v>
      </c>
      <c r="S57" s="179"/>
      <c r="T57" s="179"/>
      <c r="U57" s="207">
        <v>9086</v>
      </c>
    </row>
    <row r="58" spans="1:21">
      <c r="A58" s="186" t="s">
        <v>125</v>
      </c>
      <c r="B58" s="180"/>
      <c r="C58" s="207">
        <v>240</v>
      </c>
      <c r="D58" s="187"/>
      <c r="E58" s="187">
        <v>240</v>
      </c>
      <c r="F58" s="207"/>
      <c r="G58" s="207"/>
      <c r="H58" s="207"/>
      <c r="I58" s="204">
        <v>480</v>
      </c>
      <c r="J58" s="204"/>
      <c r="K58" s="187"/>
      <c r="L58" s="204">
        <v>480</v>
      </c>
      <c r="M58" s="189"/>
      <c r="N58" s="189"/>
      <c r="O58" s="180"/>
      <c r="P58" s="189">
        <v>240</v>
      </c>
      <c r="Q58" s="189"/>
      <c r="R58" s="189"/>
      <c r="S58" s="179"/>
      <c r="T58" s="179"/>
      <c r="U58" s="179"/>
    </row>
    <row r="59" spans="1:21">
      <c r="A59" s="179" t="s">
        <v>126</v>
      </c>
      <c r="B59" s="180"/>
      <c r="C59" s="207">
        <v>8144</v>
      </c>
      <c r="D59" s="207">
        <v>21</v>
      </c>
      <c r="E59" s="207">
        <v>10393</v>
      </c>
      <c r="F59" s="207">
        <v>6</v>
      </c>
      <c r="G59" s="207">
        <v>175</v>
      </c>
      <c r="H59" s="207">
        <v>0</v>
      </c>
      <c r="I59" s="207">
        <v>18739</v>
      </c>
      <c r="J59" s="207"/>
      <c r="K59" s="207">
        <v>10979</v>
      </c>
      <c r="L59" s="207">
        <v>7760</v>
      </c>
      <c r="M59" s="189"/>
      <c r="N59" s="189"/>
      <c r="O59" s="180"/>
      <c r="P59" s="189">
        <v>10393</v>
      </c>
      <c r="Q59" s="189"/>
      <c r="R59" s="189">
        <v>6</v>
      </c>
      <c r="S59" s="179"/>
      <c r="T59" s="179"/>
      <c r="U59" s="179"/>
    </row>
    <row r="60" spans="1:21">
      <c r="A60" s="179" t="s">
        <v>127</v>
      </c>
      <c r="B60" s="180"/>
      <c r="C60" s="207">
        <v>8144</v>
      </c>
      <c r="D60" s="207">
        <v>21</v>
      </c>
      <c r="E60" s="207">
        <v>10393</v>
      </c>
      <c r="F60" s="207">
        <v>6</v>
      </c>
      <c r="G60" s="207">
        <v>175</v>
      </c>
      <c r="H60" s="207"/>
      <c r="I60" s="204">
        <v>18739</v>
      </c>
      <c r="J60" s="204"/>
      <c r="K60" s="204">
        <v>10979</v>
      </c>
      <c r="L60" s="204">
        <v>7760</v>
      </c>
      <c r="M60" s="189"/>
      <c r="N60" s="189"/>
      <c r="O60" s="180"/>
      <c r="P60" s="189">
        <v>10393</v>
      </c>
      <c r="Q60" s="189"/>
      <c r="R60" s="189">
        <v>6</v>
      </c>
      <c r="S60" s="189"/>
      <c r="T60" s="179"/>
      <c r="U60" s="179"/>
    </row>
    <row r="61" spans="1:21">
      <c r="A61" s="179" t="s">
        <v>128</v>
      </c>
      <c r="B61" s="180"/>
      <c r="C61" s="209">
        <v>15879</v>
      </c>
      <c r="D61" s="266"/>
      <c r="E61" s="209"/>
      <c r="F61" s="209">
        <v>5366</v>
      </c>
      <c r="G61" s="209"/>
      <c r="H61" s="209"/>
      <c r="I61" s="218">
        <v>21245</v>
      </c>
      <c r="J61" s="218"/>
      <c r="K61" s="218">
        <v>14470</v>
      </c>
      <c r="L61" s="218">
        <v>6775</v>
      </c>
      <c r="M61" s="190"/>
      <c r="N61" s="190"/>
      <c r="O61" s="190"/>
      <c r="P61" s="190">
        <v>0</v>
      </c>
      <c r="Q61" s="190"/>
      <c r="R61" s="190">
        <v>5366</v>
      </c>
      <c r="S61" s="179"/>
      <c r="T61" s="179"/>
      <c r="U61" s="179"/>
    </row>
    <row r="62" spans="1:21">
      <c r="A62" s="179"/>
      <c r="B62" s="180"/>
      <c r="C62" s="207"/>
      <c r="D62" s="187"/>
      <c r="E62" s="207"/>
      <c r="F62" s="207"/>
      <c r="G62" s="207"/>
      <c r="H62" s="207"/>
      <c r="I62" s="187"/>
      <c r="J62" s="187"/>
      <c r="K62" s="187"/>
      <c r="L62" s="187"/>
      <c r="M62" s="179"/>
      <c r="N62" s="179"/>
      <c r="O62" s="180"/>
      <c r="P62" s="179"/>
      <c r="Q62" s="179"/>
      <c r="R62" s="179"/>
      <c r="S62" s="179"/>
      <c r="T62" s="179"/>
      <c r="U62" s="179"/>
    </row>
    <row r="63" spans="1:21">
      <c r="A63" s="179" t="s">
        <v>129</v>
      </c>
      <c r="B63" s="180"/>
      <c r="C63" s="207">
        <v>129113</v>
      </c>
      <c r="D63" s="207">
        <v>21</v>
      </c>
      <c r="E63" s="207">
        <v>17392</v>
      </c>
      <c r="F63" s="207">
        <v>5436</v>
      </c>
      <c r="G63" s="207">
        <v>226</v>
      </c>
      <c r="H63" s="207">
        <v>0</v>
      </c>
      <c r="I63" s="207">
        <v>152188</v>
      </c>
      <c r="J63" s="207"/>
      <c r="K63" s="207">
        <v>31462</v>
      </c>
      <c r="L63" s="207">
        <v>120726</v>
      </c>
      <c r="M63" s="180">
        <v>0</v>
      </c>
      <c r="N63" s="180">
        <v>0</v>
      </c>
      <c r="O63" s="180">
        <v>0</v>
      </c>
      <c r="P63" s="180">
        <v>17392</v>
      </c>
      <c r="Q63" s="180">
        <v>0</v>
      </c>
      <c r="R63" s="180">
        <v>5436</v>
      </c>
      <c r="S63" s="179"/>
      <c r="T63" s="179"/>
      <c r="U63" s="179"/>
    </row>
    <row r="64" spans="1:21">
      <c r="A64" s="179"/>
      <c r="B64" s="180"/>
      <c r="C64" s="207"/>
      <c r="D64" s="207"/>
      <c r="E64" s="207"/>
      <c r="F64" s="207"/>
      <c r="G64" s="207"/>
      <c r="H64" s="207"/>
      <c r="I64" s="204"/>
      <c r="J64" s="204"/>
      <c r="K64" s="204"/>
      <c r="L64" s="207"/>
      <c r="M64" s="180"/>
      <c r="N64" s="180"/>
      <c r="O64" s="180"/>
      <c r="P64" s="180"/>
      <c r="Q64" s="180"/>
      <c r="R64" s="180"/>
      <c r="S64" s="179"/>
      <c r="T64" s="179"/>
      <c r="U64" s="179"/>
    </row>
    <row r="65" spans="1:25">
      <c r="A65" s="186" t="s">
        <v>130</v>
      </c>
      <c r="B65" s="180"/>
      <c r="C65" s="207">
        <v>155131</v>
      </c>
      <c r="D65" s="207"/>
      <c r="E65" s="207"/>
      <c r="F65" s="207"/>
      <c r="G65" s="207"/>
      <c r="H65" s="207"/>
      <c r="I65" s="204">
        <v>155131</v>
      </c>
      <c r="J65" s="204"/>
      <c r="K65" s="204"/>
      <c r="L65" s="204">
        <v>155131</v>
      </c>
      <c r="M65" s="180"/>
      <c r="N65" s="180"/>
      <c r="O65" s="180"/>
      <c r="P65" s="189">
        <v>0</v>
      </c>
      <c r="Q65" s="180"/>
      <c r="R65" s="180"/>
      <c r="S65" s="179"/>
      <c r="T65" s="179"/>
      <c r="U65" s="179"/>
      <c r="V65" s="179"/>
      <c r="W65" s="179"/>
      <c r="X65" s="179"/>
      <c r="Y65" s="179"/>
    </row>
    <row r="66" spans="1:25">
      <c r="A66" s="186" t="s">
        <v>131</v>
      </c>
      <c r="B66" s="180"/>
      <c r="C66" s="207"/>
      <c r="D66" s="207"/>
      <c r="E66" s="207"/>
      <c r="F66" s="207"/>
      <c r="G66" s="207"/>
      <c r="H66" s="207"/>
      <c r="I66" s="204">
        <v>0</v>
      </c>
      <c r="J66" s="204"/>
      <c r="K66" s="204"/>
      <c r="L66" s="204">
        <v>0</v>
      </c>
      <c r="M66" s="180"/>
      <c r="N66" s="180"/>
      <c r="O66" s="180"/>
      <c r="P66" s="189">
        <v>0</v>
      </c>
      <c r="Q66" s="180"/>
      <c r="R66" s="180"/>
      <c r="S66" s="179"/>
      <c r="T66" s="179"/>
      <c r="U66" s="179"/>
      <c r="V66" s="179"/>
      <c r="W66" s="179"/>
      <c r="X66" s="179"/>
      <c r="Y66" s="179"/>
    </row>
    <row r="67" spans="1:25">
      <c r="A67" s="186" t="s">
        <v>125</v>
      </c>
      <c r="B67" s="180"/>
      <c r="C67" s="207">
        <v>0</v>
      </c>
      <c r="D67" s="207"/>
      <c r="E67" s="207">
        <v>320</v>
      </c>
      <c r="F67" s="207"/>
      <c r="G67" s="207"/>
      <c r="H67" s="207"/>
      <c r="I67" s="204">
        <v>320</v>
      </c>
      <c r="J67" s="204"/>
      <c r="K67" s="204"/>
      <c r="L67" s="204">
        <v>320</v>
      </c>
      <c r="M67" s="180"/>
      <c r="N67" s="189"/>
      <c r="O67" s="180"/>
      <c r="P67" s="189">
        <v>320</v>
      </c>
      <c r="Q67" s="180"/>
      <c r="R67" s="180"/>
      <c r="S67" s="179"/>
      <c r="T67" s="179"/>
      <c r="U67" s="179"/>
      <c r="V67" s="179"/>
      <c r="W67" s="179"/>
      <c r="X67" s="179"/>
      <c r="Y67" s="179"/>
    </row>
    <row r="68" spans="1:25">
      <c r="A68" s="186" t="s">
        <v>132</v>
      </c>
      <c r="B68" s="180"/>
      <c r="C68" s="207"/>
      <c r="D68" s="187"/>
      <c r="E68" s="207"/>
      <c r="F68" s="207"/>
      <c r="G68" s="207"/>
      <c r="H68" s="207"/>
      <c r="I68" s="204">
        <v>0</v>
      </c>
      <c r="J68" s="204"/>
      <c r="K68" s="187"/>
      <c r="L68" s="204">
        <v>0</v>
      </c>
      <c r="M68" s="179"/>
      <c r="N68" s="179"/>
      <c r="O68" s="180"/>
      <c r="P68" s="189">
        <v>0</v>
      </c>
      <c r="Q68" s="179"/>
      <c r="R68" s="179"/>
      <c r="S68" s="179"/>
      <c r="T68" s="179"/>
      <c r="U68" s="179"/>
      <c r="V68" s="179"/>
      <c r="W68" s="179"/>
      <c r="X68" s="179"/>
      <c r="Y68" s="179"/>
    </row>
    <row r="69" spans="1:25">
      <c r="A69" s="179" t="s">
        <v>133</v>
      </c>
      <c r="B69" s="180"/>
      <c r="C69" s="207">
        <v>28685</v>
      </c>
      <c r="D69" s="187"/>
      <c r="E69" s="207"/>
      <c r="F69" s="207"/>
      <c r="G69" s="207"/>
      <c r="H69" s="207"/>
      <c r="I69" s="204">
        <v>28685</v>
      </c>
      <c r="J69" s="204"/>
      <c r="K69" s="187"/>
      <c r="L69" s="204">
        <v>28685</v>
      </c>
      <c r="M69" s="179"/>
      <c r="N69" s="179"/>
      <c r="O69" s="180"/>
      <c r="P69" s="189"/>
      <c r="Q69" s="179"/>
      <c r="R69" s="179"/>
      <c r="S69" s="179"/>
      <c r="T69" s="179"/>
      <c r="U69" s="179"/>
      <c r="V69" s="179"/>
      <c r="W69" s="179"/>
      <c r="X69" s="179"/>
      <c r="Y69" s="179"/>
    </row>
    <row r="70" spans="1:25">
      <c r="A70" s="261" t="s">
        <v>134</v>
      </c>
      <c r="B70" s="180"/>
      <c r="C70" s="207">
        <v>24707</v>
      </c>
      <c r="D70" s="187"/>
      <c r="E70" s="207"/>
      <c r="F70" s="207"/>
      <c r="G70" s="207"/>
      <c r="H70" s="207"/>
      <c r="I70" s="204">
        <v>24707</v>
      </c>
      <c r="J70" s="204"/>
      <c r="K70" s="187"/>
      <c r="L70" s="204">
        <v>24707</v>
      </c>
      <c r="M70" s="189"/>
      <c r="N70" s="189"/>
      <c r="O70" s="189"/>
      <c r="P70" s="189">
        <v>0</v>
      </c>
      <c r="Q70" s="189"/>
      <c r="R70" s="189">
        <v>0</v>
      </c>
      <c r="S70" s="179"/>
      <c r="T70" s="179"/>
      <c r="U70" s="179"/>
      <c r="V70" s="179"/>
      <c r="W70" s="179"/>
      <c r="X70" s="179"/>
      <c r="Y70" s="179"/>
    </row>
    <row r="71" spans="1:25">
      <c r="A71" s="186" t="s">
        <v>135</v>
      </c>
      <c r="B71" s="180"/>
      <c r="C71" s="206"/>
      <c r="D71" s="266"/>
      <c r="E71" s="209">
        <v>2132</v>
      </c>
      <c r="F71" s="266"/>
      <c r="G71" s="266"/>
      <c r="H71" s="266"/>
      <c r="I71" s="218">
        <v>2132</v>
      </c>
      <c r="J71" s="218"/>
      <c r="K71" s="218">
        <v>0</v>
      </c>
      <c r="L71" s="218">
        <v>2132</v>
      </c>
      <c r="M71" s="191"/>
      <c r="N71" s="191"/>
      <c r="O71" s="190"/>
      <c r="P71" s="190">
        <v>2132</v>
      </c>
      <c r="Q71" s="190"/>
      <c r="R71" s="190">
        <v>0</v>
      </c>
      <c r="S71" s="179"/>
      <c r="T71" s="179"/>
      <c r="U71" s="179"/>
      <c r="V71" s="179"/>
      <c r="W71" s="179"/>
      <c r="X71" s="179"/>
      <c r="Y71" s="179"/>
    </row>
    <row r="72" spans="1:25">
      <c r="A72" s="179" t="s">
        <v>136</v>
      </c>
      <c r="B72" s="180"/>
      <c r="C72" s="207">
        <v>208523</v>
      </c>
      <c r="D72" s="207">
        <v>0</v>
      </c>
      <c r="E72" s="207">
        <v>2452</v>
      </c>
      <c r="F72" s="207">
        <v>0</v>
      </c>
      <c r="G72" s="207"/>
      <c r="H72" s="207">
        <v>0</v>
      </c>
      <c r="I72" s="207">
        <v>210975</v>
      </c>
      <c r="J72" s="207"/>
      <c r="K72" s="207">
        <v>0</v>
      </c>
      <c r="L72" s="207">
        <v>210975</v>
      </c>
      <c r="M72" s="180">
        <v>0</v>
      </c>
      <c r="N72" s="180">
        <v>0</v>
      </c>
      <c r="O72" s="180">
        <v>0</v>
      </c>
      <c r="P72" s="180">
        <v>2452</v>
      </c>
      <c r="Q72" s="180">
        <v>0</v>
      </c>
      <c r="R72" s="180">
        <v>0</v>
      </c>
      <c r="S72" s="179"/>
      <c r="T72" s="179"/>
      <c r="U72" s="179"/>
      <c r="V72" s="179"/>
      <c r="W72" s="179"/>
      <c r="X72" s="179"/>
      <c r="Y72" s="179"/>
    </row>
    <row r="73" spans="1:25">
      <c r="A73" s="179"/>
      <c r="B73" s="180"/>
      <c r="C73" s="207"/>
      <c r="D73" s="187"/>
      <c r="E73" s="207"/>
      <c r="F73" s="187"/>
      <c r="G73" s="187"/>
      <c r="H73" s="187"/>
      <c r="I73" s="187"/>
      <c r="J73" s="187"/>
      <c r="K73" s="187"/>
      <c r="L73" s="187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</row>
    <row r="74" spans="1:25">
      <c r="A74" s="179" t="s">
        <v>137</v>
      </c>
      <c r="B74" s="180"/>
      <c r="C74" s="207">
        <v>0</v>
      </c>
      <c r="D74" s="187"/>
      <c r="E74" s="207"/>
      <c r="F74" s="187"/>
      <c r="G74" s="187"/>
      <c r="H74" s="187"/>
      <c r="I74" s="187"/>
      <c r="J74" s="187"/>
      <c r="K74" s="187"/>
      <c r="L74" s="187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</row>
    <row r="75" spans="1:25">
      <c r="A75" s="179"/>
      <c r="B75" s="180"/>
      <c r="C75" s="207"/>
      <c r="D75" s="187"/>
      <c r="E75" s="207"/>
      <c r="F75" s="187"/>
      <c r="G75" s="187"/>
      <c r="H75" s="187"/>
      <c r="I75" s="187"/>
      <c r="J75" s="187"/>
      <c r="K75" s="187"/>
      <c r="L75" s="187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</row>
    <row r="76" spans="1:25">
      <c r="A76" s="179" t="s">
        <v>138</v>
      </c>
      <c r="B76" s="180"/>
      <c r="C76" s="207">
        <v>0</v>
      </c>
      <c r="D76" s="187"/>
      <c r="E76" s="207"/>
      <c r="F76" s="187"/>
      <c r="G76" s="187"/>
      <c r="H76" s="187"/>
      <c r="I76" s="187"/>
      <c r="J76" s="187"/>
      <c r="K76" s="207">
        <v>3565</v>
      </c>
      <c r="L76" s="207">
        <v>3565</v>
      </c>
      <c r="M76" s="180"/>
      <c r="N76" s="180"/>
      <c r="O76" s="180"/>
      <c r="P76" s="180"/>
      <c r="Q76" s="180"/>
      <c r="R76" s="180">
        <v>0</v>
      </c>
      <c r="S76" s="179"/>
      <c r="T76" s="179"/>
      <c r="U76" s="179"/>
      <c r="V76" s="179"/>
      <c r="W76" s="179"/>
      <c r="X76" s="179"/>
      <c r="Y76" s="179"/>
    </row>
    <row r="77" spans="1:25">
      <c r="A77" s="179"/>
      <c r="B77" s="180"/>
      <c r="C77" s="207"/>
      <c r="D77" s="187"/>
      <c r="E77" s="207"/>
      <c r="F77" s="187"/>
      <c r="G77" s="187"/>
      <c r="H77" s="187"/>
      <c r="I77" s="187"/>
      <c r="J77" s="187"/>
      <c r="K77" s="207"/>
      <c r="L77" s="187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</row>
    <row r="78" spans="1:25">
      <c r="A78" s="179"/>
      <c r="B78" s="179"/>
      <c r="C78" s="187"/>
      <c r="D78" s="187"/>
      <c r="E78" s="207"/>
      <c r="F78" s="187"/>
      <c r="G78" s="187"/>
      <c r="H78" s="187"/>
      <c r="I78" s="187"/>
      <c r="J78" s="187"/>
      <c r="K78" s="187"/>
      <c r="L78" s="187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</row>
    <row r="79" spans="1:25">
      <c r="A79" s="179"/>
      <c r="B79" s="180"/>
      <c r="C79" s="207"/>
      <c r="D79" s="187"/>
      <c r="E79" s="207"/>
      <c r="F79" s="187"/>
      <c r="G79" s="187"/>
      <c r="H79" s="187"/>
      <c r="I79" s="187"/>
      <c r="J79" s="187"/>
      <c r="K79" s="187"/>
      <c r="L79" s="187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</row>
    <row r="80" spans="1:25">
      <c r="A80" s="179"/>
      <c r="B80" s="179"/>
      <c r="C80" s="187"/>
      <c r="D80" s="179"/>
      <c r="E80" s="207"/>
      <c r="F80" s="179"/>
      <c r="G80" s="179"/>
      <c r="H80" s="179"/>
      <c r="I80" s="179"/>
      <c r="J80" s="179"/>
      <c r="K80" s="179"/>
      <c r="L80" s="187"/>
      <c r="M80" s="179"/>
      <c r="N80" s="179"/>
      <c r="O80" s="179"/>
      <c r="P80" s="179"/>
      <c r="Q80" s="179"/>
      <c r="R80" s="179"/>
      <c r="S80" s="179"/>
      <c r="T80" s="179"/>
      <c r="U80" s="179"/>
      <c r="V80" s="186" t="s">
        <v>139</v>
      </c>
      <c r="W80" s="179"/>
      <c r="X80" s="179"/>
      <c r="Y80" s="179" t="s">
        <v>140</v>
      </c>
    </row>
    <row r="81" spans="1:29" ht="14.4">
      <c r="A81" s="179" t="s">
        <v>141</v>
      </c>
      <c r="B81" s="180"/>
      <c r="C81" s="207">
        <v>146755</v>
      </c>
      <c r="D81" s="180">
        <v>53</v>
      </c>
      <c r="E81" s="207">
        <v>33000</v>
      </c>
      <c r="F81" s="180">
        <v>128515</v>
      </c>
      <c r="G81" s="180">
        <v>900</v>
      </c>
      <c r="H81" s="180">
        <v>0</v>
      </c>
      <c r="I81" s="180">
        <v>309223</v>
      </c>
      <c r="J81" s="180"/>
      <c r="K81" s="180">
        <v>180708</v>
      </c>
      <c r="L81" s="207">
        <v>128515</v>
      </c>
      <c r="M81" s="180"/>
      <c r="N81" s="180"/>
      <c r="O81" s="180"/>
      <c r="P81" s="189">
        <v>33000</v>
      </c>
      <c r="Q81" s="180">
        <v>0</v>
      </c>
      <c r="R81" s="180">
        <v>128515</v>
      </c>
      <c r="S81" s="179"/>
      <c r="T81" s="179"/>
      <c r="U81" s="179"/>
      <c r="V81" s="211" t="s">
        <v>46</v>
      </c>
      <c r="W81" s="212"/>
      <c r="X81" s="213">
        <v>128515</v>
      </c>
      <c r="Y81" s="213">
        <v>124547</v>
      </c>
    </row>
    <row r="82" spans="1:29" ht="14.4">
      <c r="A82" s="179" t="s">
        <v>142</v>
      </c>
      <c r="B82" s="180"/>
      <c r="C82" s="207">
        <v>146755</v>
      </c>
      <c r="D82" s="180">
        <v>53</v>
      </c>
      <c r="E82" s="207">
        <v>33000</v>
      </c>
      <c r="F82" s="207">
        <v>128515</v>
      </c>
      <c r="G82" s="207">
        <v>900</v>
      </c>
      <c r="H82" s="207"/>
      <c r="I82" s="189">
        <v>309223</v>
      </c>
      <c r="J82" s="189"/>
      <c r="K82" s="189">
        <v>180708</v>
      </c>
      <c r="L82" s="204">
        <v>128515</v>
      </c>
      <c r="M82" s="189"/>
      <c r="N82" s="189"/>
      <c r="O82" s="179"/>
      <c r="P82" s="189">
        <v>33000</v>
      </c>
      <c r="Q82" s="189"/>
      <c r="R82" s="180">
        <v>128515</v>
      </c>
      <c r="S82" s="179"/>
      <c r="T82" s="179"/>
      <c r="U82" s="179"/>
      <c r="V82" s="211" t="s">
        <v>47</v>
      </c>
      <c r="W82" s="212"/>
      <c r="X82" s="213">
        <v>-10870</v>
      </c>
      <c r="Y82" s="213">
        <v>-10870</v>
      </c>
    </row>
    <row r="83" spans="1:29" ht="14.4">
      <c r="A83" s="179" t="s">
        <v>143</v>
      </c>
      <c r="B83" s="180"/>
      <c r="C83" s="207"/>
      <c r="D83" s="179"/>
      <c r="E83" s="207"/>
      <c r="F83" s="179"/>
      <c r="G83" s="179"/>
      <c r="H83" s="179"/>
      <c r="I83" s="189">
        <v>0</v>
      </c>
      <c r="J83" s="189"/>
      <c r="K83" s="189">
        <v>0</v>
      </c>
      <c r="L83" s="204">
        <v>0</v>
      </c>
      <c r="M83" s="189"/>
      <c r="N83" s="189"/>
      <c r="O83" s="189"/>
      <c r="P83" s="189">
        <v>0</v>
      </c>
      <c r="Q83" s="189"/>
      <c r="R83" s="180">
        <v>0</v>
      </c>
      <c r="S83" s="179"/>
      <c r="T83" s="179"/>
      <c r="U83" s="179"/>
      <c r="V83" s="211" t="s">
        <v>48</v>
      </c>
      <c r="W83" s="212"/>
      <c r="X83" s="213">
        <v>178844</v>
      </c>
      <c r="Y83" s="213">
        <v>181431</v>
      </c>
    </row>
    <row r="84" spans="1:29" ht="14.4">
      <c r="A84" s="179" t="s">
        <v>144</v>
      </c>
      <c r="B84" s="180"/>
      <c r="C84" s="205">
        <v>87718</v>
      </c>
      <c r="D84" s="179"/>
      <c r="E84" s="207"/>
      <c r="F84" s="207">
        <v>167974</v>
      </c>
      <c r="G84" s="207"/>
      <c r="H84" s="207"/>
      <c r="I84" s="189">
        <v>255692</v>
      </c>
      <c r="J84" s="189"/>
      <c r="K84" s="189">
        <v>87718</v>
      </c>
      <c r="L84" s="204">
        <v>167974</v>
      </c>
      <c r="M84" s="189"/>
      <c r="N84" s="189"/>
      <c r="O84" s="189"/>
      <c r="P84" s="189">
        <v>0</v>
      </c>
      <c r="Q84" s="189"/>
      <c r="R84" s="180">
        <v>167974</v>
      </c>
      <c r="S84" s="179"/>
      <c r="T84" s="179"/>
      <c r="U84" s="179"/>
      <c r="V84" s="211" t="s">
        <v>49</v>
      </c>
      <c r="W84" s="212"/>
      <c r="X84" s="213">
        <v>137149</v>
      </c>
      <c r="Y84" s="213">
        <v>129049</v>
      </c>
    </row>
    <row r="85" spans="1:29" ht="14.4">
      <c r="A85" s="179" t="s">
        <v>145</v>
      </c>
      <c r="B85" s="180"/>
      <c r="C85" s="207">
        <v>107244</v>
      </c>
      <c r="D85" s="180">
        <v>-68</v>
      </c>
      <c r="E85" s="207">
        <v>-12703</v>
      </c>
      <c r="F85" s="205">
        <v>164128</v>
      </c>
      <c r="G85" s="205">
        <v>-350</v>
      </c>
      <c r="H85" s="205"/>
      <c r="I85" s="189">
        <v>258251</v>
      </c>
      <c r="J85" s="189"/>
      <c r="K85" s="189">
        <v>94123</v>
      </c>
      <c r="L85" s="204">
        <v>164128</v>
      </c>
      <c r="M85" s="189"/>
      <c r="N85" s="189"/>
      <c r="O85" s="189"/>
      <c r="P85" s="189">
        <v>-12703</v>
      </c>
      <c r="Q85" s="189">
        <v>0</v>
      </c>
      <c r="R85" s="180">
        <v>164128</v>
      </c>
      <c r="S85" s="179"/>
      <c r="T85" s="179"/>
      <c r="U85" s="179"/>
      <c r="V85" s="211" t="s">
        <v>50</v>
      </c>
      <c r="W85" s="212"/>
      <c r="X85" s="213">
        <v>-15512</v>
      </c>
      <c r="Y85" s="213">
        <v>-16373</v>
      </c>
    </row>
    <row r="86" spans="1:29">
      <c r="A86" s="179" t="s">
        <v>146</v>
      </c>
      <c r="B86" s="180"/>
      <c r="C86" s="207"/>
      <c r="D86" s="207"/>
      <c r="E86" s="207"/>
      <c r="F86" s="205">
        <v>-15512</v>
      </c>
      <c r="G86" s="205">
        <v>62</v>
      </c>
      <c r="H86" s="205"/>
      <c r="I86" s="189">
        <v>-15450</v>
      </c>
      <c r="J86" s="189"/>
      <c r="K86" s="189">
        <v>62</v>
      </c>
      <c r="L86" s="204">
        <v>-15512</v>
      </c>
      <c r="M86" s="189"/>
      <c r="N86" s="189"/>
      <c r="O86" s="189"/>
      <c r="P86" s="189">
        <v>0</v>
      </c>
      <c r="Q86" s="189">
        <v>0</v>
      </c>
      <c r="R86" s="180">
        <v>-15512</v>
      </c>
      <c r="S86" s="179"/>
      <c r="T86" s="179"/>
      <c r="U86" s="179"/>
      <c r="V86" s="179"/>
      <c r="W86" s="179"/>
      <c r="X86" s="179"/>
      <c r="Y86" s="179"/>
    </row>
    <row r="87" spans="1:29">
      <c r="A87" s="179" t="s">
        <v>147</v>
      </c>
      <c r="B87" s="180"/>
      <c r="C87" s="209">
        <v>-3145</v>
      </c>
      <c r="D87" s="266"/>
      <c r="E87" s="209">
        <v>-1895</v>
      </c>
      <c r="F87" s="206">
        <v>-5402</v>
      </c>
      <c r="G87" s="206">
        <v>-592</v>
      </c>
      <c r="H87" s="206"/>
      <c r="I87" s="190">
        <v>-11034</v>
      </c>
      <c r="J87" s="218"/>
      <c r="K87" s="190">
        <v>-5632</v>
      </c>
      <c r="L87" s="218">
        <v>-5402</v>
      </c>
      <c r="M87" s="190"/>
      <c r="N87" s="190"/>
      <c r="O87" s="190">
        <v>0</v>
      </c>
      <c r="P87" s="190">
        <v>-1895</v>
      </c>
      <c r="Q87" s="190">
        <v>0</v>
      </c>
      <c r="R87" s="181">
        <v>-5402</v>
      </c>
      <c r="S87" s="179"/>
      <c r="T87" s="179"/>
      <c r="U87" s="179">
        <v>-3038</v>
      </c>
      <c r="V87" s="179"/>
      <c r="W87" s="179"/>
      <c r="X87" s="179"/>
      <c r="Y87" s="179"/>
    </row>
    <row r="88" spans="1:29">
      <c r="A88" s="179"/>
      <c r="B88" s="180"/>
      <c r="C88" s="180"/>
      <c r="D88" s="179"/>
      <c r="E88" s="180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</row>
    <row r="89" spans="1:29">
      <c r="A89" s="179" t="s">
        <v>148</v>
      </c>
      <c r="B89" s="180"/>
      <c r="C89" s="180">
        <v>338572</v>
      </c>
      <c r="D89" s="180">
        <v>-15</v>
      </c>
      <c r="E89" s="180">
        <v>18402</v>
      </c>
      <c r="F89" s="180">
        <v>439703</v>
      </c>
      <c r="G89" s="180">
        <v>20</v>
      </c>
      <c r="H89" s="180">
        <v>0</v>
      </c>
      <c r="I89" s="180">
        <v>796682</v>
      </c>
      <c r="J89" s="180">
        <v>0</v>
      </c>
      <c r="K89" s="180">
        <v>356979</v>
      </c>
      <c r="L89" s="180">
        <v>439703</v>
      </c>
      <c r="M89" s="180"/>
      <c r="N89" s="180"/>
      <c r="O89" s="180">
        <v>0</v>
      </c>
      <c r="P89" s="180">
        <v>18402</v>
      </c>
      <c r="Q89" s="180"/>
      <c r="R89" s="180">
        <v>439703</v>
      </c>
      <c r="S89" s="179"/>
      <c r="T89" s="179"/>
      <c r="U89" s="179"/>
      <c r="V89" s="179"/>
      <c r="W89" s="179"/>
      <c r="X89" s="179"/>
      <c r="Y89" s="179"/>
    </row>
    <row r="90" spans="1:29">
      <c r="A90" s="179"/>
      <c r="B90" s="180"/>
      <c r="C90" s="180"/>
      <c r="D90" s="179"/>
      <c r="E90" s="180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</row>
    <row r="91" spans="1:29" ht="13.8" thickBot="1">
      <c r="A91" s="179" t="s">
        <v>149</v>
      </c>
      <c r="B91" s="180"/>
      <c r="C91" s="182">
        <v>676208</v>
      </c>
      <c r="D91" s="182">
        <v>6</v>
      </c>
      <c r="E91" s="182">
        <v>38246</v>
      </c>
      <c r="F91" s="182">
        <v>445139</v>
      </c>
      <c r="G91" s="182">
        <v>246</v>
      </c>
      <c r="H91" s="182">
        <v>0</v>
      </c>
      <c r="I91" s="182">
        <v>1159845</v>
      </c>
      <c r="J91" s="182">
        <v>0</v>
      </c>
      <c r="K91" s="182">
        <v>384876</v>
      </c>
      <c r="L91" s="182">
        <v>774969</v>
      </c>
      <c r="M91" s="182">
        <v>0</v>
      </c>
      <c r="N91" s="182">
        <v>0</v>
      </c>
      <c r="O91" s="182">
        <v>0</v>
      </c>
      <c r="P91" s="182">
        <v>38246</v>
      </c>
      <c r="Q91" s="182">
        <v>0</v>
      </c>
      <c r="R91" s="182">
        <v>445139</v>
      </c>
      <c r="S91" s="179"/>
      <c r="T91" s="179"/>
      <c r="U91" s="179"/>
      <c r="V91" s="179"/>
      <c r="W91" s="179"/>
      <c r="X91" s="179"/>
      <c r="Y91" s="179"/>
    </row>
    <row r="92" spans="1:29" ht="13.8" thickTop="1">
      <c r="A92" s="179"/>
      <c r="B92" s="180"/>
      <c r="C92" s="180"/>
      <c r="D92" s="179"/>
      <c r="E92" s="180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</row>
    <row r="93" spans="1:29">
      <c r="A93" s="179"/>
      <c r="B93" s="180"/>
      <c r="C93" s="180">
        <v>0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/>
      <c r="N93" s="180"/>
      <c r="O93" s="180">
        <v>0</v>
      </c>
      <c r="P93" s="180">
        <v>0</v>
      </c>
      <c r="Q93" s="180"/>
      <c r="R93" s="180">
        <v>-74959</v>
      </c>
      <c r="S93" s="179"/>
      <c r="T93" s="179"/>
      <c r="U93" s="179"/>
      <c r="V93" s="179"/>
      <c r="W93" s="179"/>
      <c r="X93" s="179"/>
      <c r="Y93" s="179"/>
    </row>
    <row r="94" spans="1:29">
      <c r="A94" s="179"/>
      <c r="B94" s="180"/>
      <c r="C94" s="180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89"/>
      <c r="P94" s="179"/>
      <c r="Q94" s="179"/>
      <c r="R94" s="179"/>
      <c r="S94" s="179"/>
      <c r="T94" s="179"/>
      <c r="U94" s="179"/>
      <c r="V94" s="179"/>
      <c r="W94" s="179"/>
      <c r="X94" s="179"/>
      <c r="Y94" s="179"/>
    </row>
    <row r="95" spans="1:29">
      <c r="A95" s="179" t="s">
        <v>118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</row>
    <row r="96" spans="1:29">
      <c r="A96" s="179" t="s">
        <v>72</v>
      </c>
      <c r="B96" s="179"/>
      <c r="C96" s="198">
        <v>41729</v>
      </c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202">
        <v>41743.60204849537</v>
      </c>
      <c r="Q96" s="179"/>
      <c r="R96" s="179"/>
      <c r="S96" s="179"/>
      <c r="T96" s="179"/>
      <c r="U96" s="179"/>
      <c r="V96" s="179"/>
      <c r="W96" s="179"/>
      <c r="X96" s="179"/>
      <c r="Y96" s="179"/>
      <c r="AA96" s="120" t="s">
        <v>72</v>
      </c>
      <c r="AC96" s="121">
        <v>41729</v>
      </c>
    </row>
    <row r="97" spans="1:37">
      <c r="A97" s="186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AA97" s="131"/>
    </row>
    <row r="98" spans="1:37">
      <c r="A98" s="179"/>
      <c r="B98" s="179"/>
      <c r="C98" s="221" t="s">
        <v>73</v>
      </c>
      <c r="D98" s="179" t="s">
        <v>74</v>
      </c>
      <c r="E98" s="223" t="s">
        <v>75</v>
      </c>
      <c r="F98" s="192" t="s">
        <v>76</v>
      </c>
      <c r="G98" s="192" t="s">
        <v>77</v>
      </c>
      <c r="H98" s="192" t="s">
        <v>78</v>
      </c>
      <c r="I98" s="179" t="s">
        <v>79</v>
      </c>
      <c r="J98" s="194" t="s">
        <v>81</v>
      </c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AC98" s="123" t="s">
        <v>73</v>
      </c>
      <c r="AD98" s="120" t="s">
        <v>74</v>
      </c>
      <c r="AE98" s="137" t="s">
        <v>75</v>
      </c>
      <c r="AF98" s="124" t="s">
        <v>76</v>
      </c>
      <c r="AG98" s="124" t="s">
        <v>77</v>
      </c>
      <c r="AH98" s="124" t="s">
        <v>78</v>
      </c>
      <c r="AI98" s="120" t="s">
        <v>79</v>
      </c>
      <c r="AJ98" s="125" t="s">
        <v>81</v>
      </c>
    </row>
    <row r="99" spans="1:37">
      <c r="A99" s="179" t="s">
        <v>82</v>
      </c>
      <c r="B99" s="179"/>
      <c r="C99" s="222">
        <v>41729</v>
      </c>
      <c r="D99" s="193">
        <v>41729</v>
      </c>
      <c r="E99" s="222">
        <v>41729</v>
      </c>
      <c r="F99" s="193">
        <v>41729</v>
      </c>
      <c r="G99" s="193">
        <v>41729</v>
      </c>
      <c r="H99" s="193">
        <v>41729</v>
      </c>
      <c r="I99" s="193">
        <v>41729</v>
      </c>
      <c r="J99" s="195" t="s">
        <v>84</v>
      </c>
      <c r="K99" s="195" t="s">
        <v>85</v>
      </c>
      <c r="L99" s="179"/>
      <c r="M99" s="196" t="s">
        <v>73</v>
      </c>
      <c r="N99" s="196" t="s">
        <v>119</v>
      </c>
      <c r="O99" s="200" t="s">
        <v>120</v>
      </c>
      <c r="P99" s="196" t="s">
        <v>88</v>
      </c>
      <c r="Q99" s="200" t="s">
        <v>89</v>
      </c>
      <c r="R99" s="179"/>
      <c r="S99" s="179"/>
      <c r="T99" s="179"/>
      <c r="U99" s="179"/>
      <c r="V99" s="179"/>
      <c r="W99" s="179"/>
      <c r="X99" s="179"/>
      <c r="AA99" s="120" t="s">
        <v>82</v>
      </c>
      <c r="AC99" s="126">
        <v>41729</v>
      </c>
      <c r="AD99" s="136">
        <v>41729</v>
      </c>
      <c r="AE99" s="126">
        <v>41729</v>
      </c>
      <c r="AF99" s="136">
        <v>41729</v>
      </c>
      <c r="AG99" s="136">
        <v>41729</v>
      </c>
      <c r="AH99" s="136">
        <v>41729</v>
      </c>
      <c r="AI99" s="136">
        <v>41729</v>
      </c>
      <c r="AJ99" s="127" t="s">
        <v>84</v>
      </c>
      <c r="AK99" s="127" t="s">
        <v>85</v>
      </c>
    </row>
    <row r="100" spans="1:37">
      <c r="A100" s="179"/>
      <c r="B100" s="179"/>
      <c r="C100" s="179"/>
      <c r="D100" s="179"/>
      <c r="E100" s="187"/>
      <c r="F100" s="179"/>
      <c r="G100" s="179"/>
      <c r="H100" s="179"/>
      <c r="I100" s="179"/>
      <c r="J100" s="187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AE100" s="122"/>
      <c r="AJ100" s="122"/>
    </row>
    <row r="101" spans="1:37" ht="14.4">
      <c r="A101" s="179" t="s">
        <v>150</v>
      </c>
      <c r="B101" s="180"/>
      <c r="C101" s="180">
        <v>82220</v>
      </c>
      <c r="D101" s="179"/>
      <c r="E101" s="207">
        <v>1222</v>
      </c>
      <c r="F101" s="179"/>
      <c r="G101" s="180"/>
      <c r="H101" s="180"/>
      <c r="I101" s="189">
        <v>83442</v>
      </c>
      <c r="J101" s="207">
        <v>884</v>
      </c>
      <c r="K101" s="189">
        <v>82558</v>
      </c>
      <c r="L101" s="179"/>
      <c r="M101" s="189"/>
      <c r="N101" s="189"/>
      <c r="O101" s="189">
        <v>1222</v>
      </c>
      <c r="P101" s="189"/>
      <c r="Q101" s="189">
        <v>0</v>
      </c>
      <c r="R101" s="179"/>
      <c r="S101" s="179"/>
      <c r="T101" s="179"/>
      <c r="U101" s="179"/>
      <c r="V101" s="179"/>
      <c r="W101" s="179"/>
      <c r="X101" s="179"/>
      <c r="AA101" s="120" t="s">
        <v>150</v>
      </c>
      <c r="AB101" s="128"/>
      <c r="AC101" s="128">
        <f>C101-C154</f>
        <v>82220</v>
      </c>
      <c r="AD101" s="128">
        <f t="shared" ref="AD101:AK101" si="0">D101-D154</f>
        <v>0</v>
      </c>
      <c r="AE101" s="130">
        <f t="shared" si="0"/>
        <v>1222</v>
      </c>
      <c r="AF101" s="128">
        <f t="shared" si="0"/>
        <v>0</v>
      </c>
      <c r="AG101" s="128">
        <f t="shared" si="0"/>
        <v>0</v>
      </c>
      <c r="AH101" s="128">
        <f t="shared" si="0"/>
        <v>0</v>
      </c>
      <c r="AI101" s="128">
        <f t="shared" si="0"/>
        <v>83442</v>
      </c>
      <c r="AJ101" s="130">
        <f t="shared" si="0"/>
        <v>884</v>
      </c>
      <c r="AK101" s="128">
        <f t="shared" si="0"/>
        <v>62865.067555402769</v>
      </c>
    </row>
    <row r="102" spans="1:37" ht="14.4">
      <c r="A102" s="179" t="s">
        <v>151</v>
      </c>
      <c r="B102" s="184"/>
      <c r="C102" s="180">
        <v>2700</v>
      </c>
      <c r="D102" s="179"/>
      <c r="E102" s="207"/>
      <c r="F102" s="179"/>
      <c r="G102" s="180"/>
      <c r="H102" s="180"/>
      <c r="I102" s="189">
        <v>2700</v>
      </c>
      <c r="J102" s="207"/>
      <c r="K102" s="189">
        <v>2700</v>
      </c>
      <c r="L102" s="179"/>
      <c r="M102" s="189"/>
      <c r="N102" s="189"/>
      <c r="O102" s="189">
        <v>0</v>
      </c>
      <c r="P102" s="189"/>
      <c r="Q102" s="189">
        <v>0</v>
      </c>
      <c r="R102" s="179"/>
      <c r="S102" s="179"/>
      <c r="T102" s="179"/>
      <c r="U102" s="179"/>
      <c r="V102" s="179"/>
      <c r="W102" s="179"/>
      <c r="X102" s="179"/>
      <c r="AA102" s="120" t="s">
        <v>151</v>
      </c>
      <c r="AB102" s="138"/>
      <c r="AC102" s="128">
        <f t="shared" ref="AC102:AK107" si="1">C102-C155</f>
        <v>2700</v>
      </c>
      <c r="AD102" s="128">
        <f t="shared" si="1"/>
        <v>0</v>
      </c>
      <c r="AE102" s="130">
        <f t="shared" si="1"/>
        <v>0</v>
      </c>
      <c r="AF102" s="128">
        <f t="shared" si="1"/>
        <v>0</v>
      </c>
      <c r="AG102" s="128">
        <f t="shared" si="1"/>
        <v>0</v>
      </c>
      <c r="AH102" s="128">
        <f t="shared" si="1"/>
        <v>0</v>
      </c>
      <c r="AI102" s="128">
        <f t="shared" si="1"/>
        <v>2700</v>
      </c>
      <c r="AJ102" s="130">
        <f t="shared" si="1"/>
        <v>0</v>
      </c>
      <c r="AK102" s="128">
        <f t="shared" si="1"/>
        <v>-15541.092787291091</v>
      </c>
    </row>
    <row r="103" spans="1:37" ht="14.4">
      <c r="A103" s="179" t="s">
        <v>152</v>
      </c>
      <c r="B103" s="184"/>
      <c r="C103" s="180">
        <v>12739</v>
      </c>
      <c r="D103" s="179"/>
      <c r="E103" s="207">
        <v>293</v>
      </c>
      <c r="F103" s="179"/>
      <c r="G103" s="180"/>
      <c r="H103" s="180"/>
      <c r="I103" s="189">
        <v>13032</v>
      </c>
      <c r="J103" s="207">
        <v>136</v>
      </c>
      <c r="K103" s="189">
        <v>12896</v>
      </c>
      <c r="L103" s="179"/>
      <c r="M103" s="189"/>
      <c r="N103" s="189"/>
      <c r="O103" s="189">
        <v>293</v>
      </c>
      <c r="P103" s="189"/>
      <c r="Q103" s="189">
        <v>0</v>
      </c>
      <c r="R103" s="179"/>
      <c r="S103" s="179"/>
      <c r="T103" s="179"/>
      <c r="U103" s="179"/>
      <c r="V103" s="179"/>
      <c r="W103" s="179"/>
      <c r="X103" s="179"/>
      <c r="AA103" s="120" t="s">
        <v>152</v>
      </c>
      <c r="AB103" s="138"/>
      <c r="AC103" s="128">
        <f t="shared" si="1"/>
        <v>12739</v>
      </c>
      <c r="AD103" s="128">
        <f t="shared" si="1"/>
        <v>0</v>
      </c>
      <c r="AE103" s="130">
        <f t="shared" si="1"/>
        <v>293</v>
      </c>
      <c r="AF103" s="128">
        <f t="shared" si="1"/>
        <v>0</v>
      </c>
      <c r="AG103" s="128">
        <f t="shared" si="1"/>
        <v>0</v>
      </c>
      <c r="AH103" s="128">
        <f t="shared" si="1"/>
        <v>0</v>
      </c>
      <c r="AI103" s="128">
        <f t="shared" si="1"/>
        <v>13032</v>
      </c>
      <c r="AJ103" s="130">
        <f t="shared" si="1"/>
        <v>136</v>
      </c>
      <c r="AK103" s="128">
        <f t="shared" si="1"/>
        <v>11605</v>
      </c>
    </row>
    <row r="104" spans="1:37" ht="14.4">
      <c r="A104" s="186" t="s">
        <v>153</v>
      </c>
      <c r="B104" s="179"/>
      <c r="C104" s="181">
        <v>364</v>
      </c>
      <c r="D104" s="190"/>
      <c r="E104" s="209"/>
      <c r="F104" s="191"/>
      <c r="G104" s="181"/>
      <c r="H104" s="181"/>
      <c r="I104" s="190">
        <v>364</v>
      </c>
      <c r="J104" s="209"/>
      <c r="K104" s="190">
        <v>364</v>
      </c>
      <c r="L104" s="179"/>
      <c r="M104" s="201"/>
      <c r="N104" s="201"/>
      <c r="O104" s="190">
        <v>0</v>
      </c>
      <c r="P104" s="201"/>
      <c r="Q104" s="190">
        <v>0</v>
      </c>
      <c r="R104" s="179"/>
      <c r="S104" s="189"/>
      <c r="T104" s="179"/>
      <c r="U104" s="179"/>
      <c r="V104" s="179"/>
      <c r="W104" s="179"/>
      <c r="X104" s="179"/>
      <c r="AA104" s="131" t="s">
        <v>153</v>
      </c>
      <c r="AC104" s="133">
        <f t="shared" si="1"/>
        <v>364</v>
      </c>
      <c r="AD104" s="133">
        <f t="shared" si="1"/>
        <v>0</v>
      </c>
      <c r="AE104" s="132">
        <f t="shared" si="1"/>
        <v>0</v>
      </c>
      <c r="AF104" s="133">
        <f t="shared" si="1"/>
        <v>0</v>
      </c>
      <c r="AG104" s="133">
        <f t="shared" si="1"/>
        <v>0</v>
      </c>
      <c r="AH104" s="133">
        <f t="shared" si="1"/>
        <v>0</v>
      </c>
      <c r="AI104" s="133">
        <f t="shared" si="1"/>
        <v>364</v>
      </c>
      <c r="AJ104" s="132">
        <f t="shared" si="1"/>
        <v>0</v>
      </c>
      <c r="AK104" s="133">
        <f t="shared" si="1"/>
        <v>-323.81372388884904</v>
      </c>
    </row>
    <row r="105" spans="1:37" ht="14.4">
      <c r="A105" s="179"/>
      <c r="B105" s="184"/>
      <c r="C105" s="183"/>
      <c r="D105" s="179"/>
      <c r="E105" s="187"/>
      <c r="F105" s="179"/>
      <c r="G105" s="180"/>
      <c r="H105" s="180"/>
      <c r="I105" s="179"/>
      <c r="J105" s="207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AB105" s="138"/>
      <c r="AC105" s="139">
        <f t="shared" si="1"/>
        <v>0</v>
      </c>
      <c r="AD105" s="128">
        <f t="shared" si="1"/>
        <v>0</v>
      </c>
      <c r="AE105" s="130">
        <f t="shared" si="1"/>
        <v>0</v>
      </c>
      <c r="AF105" s="128">
        <f t="shared" si="1"/>
        <v>0</v>
      </c>
      <c r="AG105" s="128">
        <f t="shared" si="1"/>
        <v>0</v>
      </c>
      <c r="AH105" s="128">
        <f t="shared" si="1"/>
        <v>0</v>
      </c>
      <c r="AI105" s="128">
        <f t="shared" si="1"/>
        <v>0</v>
      </c>
      <c r="AJ105" s="130">
        <f t="shared" si="1"/>
        <v>0</v>
      </c>
      <c r="AK105" s="128">
        <f t="shared" si="1"/>
        <v>0</v>
      </c>
    </row>
    <row r="106" spans="1:37" ht="14.4">
      <c r="A106" s="179" t="s">
        <v>154</v>
      </c>
      <c r="B106" s="184"/>
      <c r="C106" s="180">
        <v>67145</v>
      </c>
      <c r="D106" s="179"/>
      <c r="E106" s="207">
        <v>929</v>
      </c>
      <c r="F106" s="179"/>
      <c r="G106" s="180">
        <v>0</v>
      </c>
      <c r="H106" s="180">
        <v>0</v>
      </c>
      <c r="I106" s="180">
        <v>68074</v>
      </c>
      <c r="J106" s="207">
        <v>748</v>
      </c>
      <c r="K106" s="180">
        <v>67326</v>
      </c>
      <c r="L106" s="189"/>
      <c r="M106" s="180"/>
      <c r="N106" s="180"/>
      <c r="O106" s="180"/>
      <c r="P106" s="180"/>
      <c r="Q106" s="180"/>
      <c r="R106" s="179"/>
      <c r="S106" s="179"/>
      <c r="T106" s="179"/>
      <c r="U106" s="186" t="s">
        <v>155</v>
      </c>
      <c r="V106" s="179"/>
      <c r="W106" s="179"/>
      <c r="X106" s="272">
        <v>524</v>
      </c>
      <c r="AA106" s="120" t="s">
        <v>154</v>
      </c>
      <c r="AB106" s="138"/>
      <c r="AC106" s="128">
        <f t="shared" si="1"/>
        <v>67145</v>
      </c>
      <c r="AD106" s="128">
        <f t="shared" si="1"/>
        <v>0</v>
      </c>
      <c r="AE106" s="130">
        <f t="shared" si="1"/>
        <v>929</v>
      </c>
      <c r="AF106" s="128">
        <f t="shared" si="1"/>
        <v>0</v>
      </c>
      <c r="AG106" s="128">
        <f t="shared" si="1"/>
        <v>0</v>
      </c>
      <c r="AH106" s="128">
        <f t="shared" si="1"/>
        <v>0</v>
      </c>
      <c r="AI106" s="128">
        <f t="shared" si="1"/>
        <v>68074</v>
      </c>
      <c r="AJ106" s="130">
        <f t="shared" si="1"/>
        <v>748</v>
      </c>
      <c r="AK106" s="128">
        <f t="shared" si="1"/>
        <v>66799.025933417288</v>
      </c>
    </row>
    <row r="107" spans="1:37" ht="14.4">
      <c r="A107" s="179" t="s">
        <v>156</v>
      </c>
      <c r="B107" s="184"/>
      <c r="C107" s="181">
        <v>30609</v>
      </c>
      <c r="D107" s="191"/>
      <c r="E107" s="209">
        <v>524</v>
      </c>
      <c r="F107" s="191"/>
      <c r="G107" s="181"/>
      <c r="H107" s="181"/>
      <c r="I107" s="190">
        <v>31133</v>
      </c>
      <c r="J107" s="209">
        <v>583</v>
      </c>
      <c r="K107" s="190">
        <v>30550</v>
      </c>
      <c r="L107" s="189"/>
      <c r="M107" s="201"/>
      <c r="N107" s="201"/>
      <c r="O107" s="190"/>
      <c r="P107" s="201"/>
      <c r="Q107" s="190"/>
      <c r="R107" s="179"/>
      <c r="S107" s="179"/>
      <c r="T107" s="179"/>
      <c r="U107" s="186" t="s">
        <v>157</v>
      </c>
      <c r="V107" s="179"/>
      <c r="W107" s="179"/>
      <c r="X107" s="272">
        <v>188.4828</v>
      </c>
      <c r="AA107" s="120" t="s">
        <v>156</v>
      </c>
      <c r="AB107" s="138"/>
      <c r="AC107" s="133">
        <f>C107-C160</f>
        <v>30609</v>
      </c>
      <c r="AD107" s="133">
        <f t="shared" si="1"/>
        <v>0</v>
      </c>
      <c r="AE107" s="132">
        <f t="shared" si="1"/>
        <v>524</v>
      </c>
      <c r="AF107" s="133">
        <f t="shared" si="1"/>
        <v>0</v>
      </c>
      <c r="AG107" s="133">
        <f t="shared" si="1"/>
        <v>0</v>
      </c>
      <c r="AH107" s="133">
        <f t="shared" si="1"/>
        <v>0</v>
      </c>
      <c r="AI107" s="133">
        <f t="shared" si="1"/>
        <v>31133</v>
      </c>
      <c r="AJ107" s="132">
        <f t="shared" si="1"/>
        <v>583</v>
      </c>
      <c r="AK107" s="133">
        <f t="shared" si="1"/>
        <v>30550</v>
      </c>
    </row>
    <row r="108" spans="1:37" ht="14.4">
      <c r="A108" s="179"/>
      <c r="B108" s="184"/>
      <c r="C108" s="180"/>
      <c r="D108" s="179"/>
      <c r="E108" s="179"/>
      <c r="F108" s="179"/>
      <c r="G108" s="180"/>
      <c r="H108" s="180"/>
      <c r="I108" s="179"/>
      <c r="J108" s="187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86" t="s">
        <v>158</v>
      </c>
      <c r="V108" s="179"/>
      <c r="W108" s="179"/>
      <c r="X108" s="272">
        <v>335.5172</v>
      </c>
      <c r="AB108" s="138"/>
      <c r="AC108" s="128">
        <f t="shared" ref="AC108:AK123" si="2">C108-C161</f>
        <v>0</v>
      </c>
      <c r="AD108" s="128">
        <f t="shared" si="2"/>
        <v>0</v>
      </c>
      <c r="AE108" s="128">
        <f t="shared" si="2"/>
        <v>0</v>
      </c>
      <c r="AF108" s="128">
        <f t="shared" si="2"/>
        <v>0</v>
      </c>
      <c r="AG108" s="128">
        <f t="shared" si="2"/>
        <v>0</v>
      </c>
      <c r="AH108" s="128">
        <f t="shared" si="2"/>
        <v>0</v>
      </c>
      <c r="AI108" s="128">
        <f t="shared" si="2"/>
        <v>0</v>
      </c>
      <c r="AJ108" s="130">
        <f t="shared" si="2"/>
        <v>0</v>
      </c>
      <c r="AK108" s="128">
        <f t="shared" si="2"/>
        <v>0</v>
      </c>
    </row>
    <row r="109" spans="1:37" ht="14.4">
      <c r="A109" s="179" t="s">
        <v>159</v>
      </c>
      <c r="B109" s="184"/>
      <c r="C109" s="180">
        <v>36536</v>
      </c>
      <c r="D109" s="180">
        <v>0</v>
      </c>
      <c r="E109" s="180">
        <v>405</v>
      </c>
      <c r="F109" s="180">
        <v>0</v>
      </c>
      <c r="G109" s="180">
        <v>0</v>
      </c>
      <c r="H109" s="180">
        <v>0</v>
      </c>
      <c r="I109" s="180">
        <v>36941</v>
      </c>
      <c r="J109" s="207">
        <v>165</v>
      </c>
      <c r="K109" s="189">
        <v>36776</v>
      </c>
      <c r="L109" s="189"/>
      <c r="M109" s="189"/>
      <c r="N109" s="189"/>
      <c r="O109" s="180"/>
      <c r="P109" s="189"/>
      <c r="Q109" s="180"/>
      <c r="R109" s="179"/>
      <c r="S109" s="189"/>
      <c r="T109" s="179"/>
      <c r="U109" s="179"/>
      <c r="V109" s="179"/>
      <c r="W109" s="179"/>
      <c r="X109" s="179"/>
      <c r="AA109" s="120" t="s">
        <v>159</v>
      </c>
      <c r="AB109" s="138"/>
      <c r="AC109" s="128">
        <f t="shared" si="2"/>
        <v>36536</v>
      </c>
      <c r="AD109" s="128">
        <f t="shared" si="2"/>
        <v>0</v>
      </c>
      <c r="AE109" s="128">
        <f t="shared" si="2"/>
        <v>405</v>
      </c>
      <c r="AF109" s="128">
        <f t="shared" si="2"/>
        <v>0</v>
      </c>
      <c r="AG109" s="128">
        <f t="shared" si="2"/>
        <v>0</v>
      </c>
      <c r="AH109" s="128">
        <f t="shared" si="2"/>
        <v>0</v>
      </c>
      <c r="AI109" s="128">
        <f t="shared" si="2"/>
        <v>36941</v>
      </c>
      <c r="AJ109" s="130">
        <f t="shared" si="2"/>
        <v>165</v>
      </c>
      <c r="AK109" s="128">
        <f t="shared" si="2"/>
        <v>34000.398498730014</v>
      </c>
    </row>
    <row r="110" spans="1:37" ht="14.4">
      <c r="A110" s="179"/>
      <c r="B110" s="184"/>
      <c r="C110" s="180"/>
      <c r="D110" s="179"/>
      <c r="E110" s="179"/>
      <c r="F110" s="179"/>
      <c r="G110" s="180"/>
      <c r="H110" s="180"/>
      <c r="I110" s="179"/>
      <c r="J110" s="187"/>
      <c r="K110" s="179"/>
      <c r="L110" s="214"/>
      <c r="M110" s="179"/>
      <c r="N110" s="179"/>
      <c r="O110" s="179"/>
      <c r="P110" s="179"/>
      <c r="Q110" s="179"/>
      <c r="R110" s="179"/>
      <c r="S110" s="189"/>
      <c r="T110" s="270">
        <v>0</v>
      </c>
      <c r="U110" s="186" t="s">
        <v>160</v>
      </c>
      <c r="V110" s="179"/>
      <c r="W110" s="179"/>
      <c r="X110" s="179"/>
      <c r="AB110" s="138"/>
      <c r="AC110" s="128">
        <f t="shared" si="2"/>
        <v>0</v>
      </c>
      <c r="AD110" s="128">
        <f t="shared" si="2"/>
        <v>0</v>
      </c>
      <c r="AE110" s="128">
        <f t="shared" si="2"/>
        <v>0</v>
      </c>
      <c r="AF110" s="128">
        <f t="shared" si="2"/>
        <v>0</v>
      </c>
      <c r="AG110" s="128">
        <f t="shared" si="2"/>
        <v>0</v>
      </c>
      <c r="AH110" s="128">
        <f t="shared" si="2"/>
        <v>0</v>
      </c>
      <c r="AI110" s="128">
        <f t="shared" si="2"/>
        <v>0</v>
      </c>
      <c r="AJ110" s="130">
        <f t="shared" si="2"/>
        <v>0</v>
      </c>
      <c r="AK110" s="128">
        <f t="shared" si="2"/>
        <v>-2665.8305620537099</v>
      </c>
    </row>
    <row r="111" spans="1:37" ht="14.4">
      <c r="A111" s="179" t="s">
        <v>161</v>
      </c>
      <c r="B111" s="184"/>
      <c r="C111" s="183">
        <v>0</v>
      </c>
      <c r="D111" s="179"/>
      <c r="E111" s="180">
        <v>0</v>
      </c>
      <c r="F111" s="180">
        <v>-5189</v>
      </c>
      <c r="G111" s="180"/>
      <c r="H111" s="180"/>
      <c r="I111" s="189">
        <v>-5189</v>
      </c>
      <c r="J111" s="207">
        <v>-5189</v>
      </c>
      <c r="K111" s="189">
        <v>0</v>
      </c>
      <c r="L111" s="179"/>
      <c r="M111" s="189"/>
      <c r="N111" s="189"/>
      <c r="O111" s="189">
        <v>0</v>
      </c>
      <c r="P111" s="189"/>
      <c r="Q111" s="189">
        <v>-5189</v>
      </c>
      <c r="R111" s="179"/>
      <c r="S111" s="179"/>
      <c r="T111" s="179">
        <v>324.88</v>
      </c>
      <c r="U111" s="186" t="s">
        <v>162</v>
      </c>
      <c r="V111" s="179"/>
      <c r="W111" s="179"/>
      <c r="X111" s="272">
        <v>748</v>
      </c>
      <c r="AA111" s="120" t="s">
        <v>161</v>
      </c>
      <c r="AB111" s="138"/>
      <c r="AC111" s="139">
        <f t="shared" si="2"/>
        <v>0</v>
      </c>
      <c r="AD111" s="128">
        <f t="shared" si="2"/>
        <v>0</v>
      </c>
      <c r="AE111" s="128">
        <f t="shared" si="2"/>
        <v>0</v>
      </c>
      <c r="AF111" s="128">
        <f t="shared" si="2"/>
        <v>-5189</v>
      </c>
      <c r="AG111" s="128">
        <f t="shared" si="2"/>
        <v>0</v>
      </c>
      <c r="AH111" s="128">
        <f t="shared" si="2"/>
        <v>0</v>
      </c>
      <c r="AI111" s="128">
        <f t="shared" si="2"/>
        <v>-5189</v>
      </c>
      <c r="AJ111" s="130">
        <f t="shared" si="2"/>
        <v>-5189</v>
      </c>
      <c r="AK111" s="128">
        <f t="shared" si="2"/>
        <v>-185.44597201318413</v>
      </c>
    </row>
    <row r="112" spans="1:37" ht="14.4">
      <c r="A112" s="179"/>
      <c r="B112" s="184"/>
      <c r="C112" s="180"/>
      <c r="D112" s="179"/>
      <c r="E112" s="180"/>
      <c r="F112" s="179"/>
      <c r="G112" s="180"/>
      <c r="H112" s="180"/>
      <c r="I112" s="179"/>
      <c r="J112" s="187"/>
      <c r="K112" s="179"/>
      <c r="L112" s="189"/>
      <c r="M112" s="179"/>
      <c r="N112" s="179"/>
      <c r="O112" s="179"/>
      <c r="P112" s="179"/>
      <c r="Q112" s="179"/>
      <c r="R112" s="179"/>
      <c r="S112" s="189"/>
      <c r="T112" s="179"/>
      <c r="U112" s="186" t="s">
        <v>163</v>
      </c>
      <c r="V112" s="179"/>
      <c r="W112" s="179"/>
      <c r="X112" s="272">
        <v>247.06439999999998</v>
      </c>
      <c r="AB112" s="138"/>
      <c r="AC112" s="128">
        <f t="shared" si="2"/>
        <v>0</v>
      </c>
      <c r="AD112" s="128">
        <f t="shared" si="2"/>
        <v>0</v>
      </c>
      <c r="AE112" s="128">
        <f t="shared" si="2"/>
        <v>0</v>
      </c>
      <c r="AF112" s="128">
        <f t="shared" si="2"/>
        <v>0</v>
      </c>
      <c r="AG112" s="128">
        <f t="shared" si="2"/>
        <v>0</v>
      </c>
      <c r="AH112" s="128">
        <f t="shared" si="2"/>
        <v>0</v>
      </c>
      <c r="AI112" s="128">
        <f t="shared" si="2"/>
        <v>0</v>
      </c>
      <c r="AJ112" s="130">
        <f t="shared" si="2"/>
        <v>0</v>
      </c>
      <c r="AK112" s="128">
        <f t="shared" si="2"/>
        <v>-75.6750327969051</v>
      </c>
    </row>
    <row r="113" spans="1:37" ht="14.4">
      <c r="A113" s="179" t="s">
        <v>164</v>
      </c>
      <c r="B113" s="184"/>
      <c r="C113" s="183">
        <v>2730</v>
      </c>
      <c r="D113" s="179"/>
      <c r="E113" s="180">
        <v>2</v>
      </c>
      <c r="F113" s="180">
        <v>21</v>
      </c>
      <c r="G113" s="180"/>
      <c r="H113" s="180"/>
      <c r="I113" s="189">
        <v>2753</v>
      </c>
      <c r="J113" s="204"/>
      <c r="K113" s="189">
        <v>2753</v>
      </c>
      <c r="L113" s="179"/>
      <c r="M113" s="189"/>
      <c r="N113" s="189"/>
      <c r="O113" s="189">
        <v>2</v>
      </c>
      <c r="P113" s="189"/>
      <c r="Q113" s="189">
        <v>21</v>
      </c>
      <c r="R113" s="179"/>
      <c r="S113" s="179"/>
      <c r="T113" s="179"/>
      <c r="U113" s="186" t="s">
        <v>165</v>
      </c>
      <c r="V113" s="179"/>
      <c r="W113" s="179"/>
      <c r="X113" s="272">
        <v>500.93560000000002</v>
      </c>
      <c r="Y113" s="179"/>
      <c r="AA113" s="120" t="s">
        <v>164</v>
      </c>
      <c r="AB113" s="138"/>
      <c r="AC113" s="139">
        <f t="shared" si="2"/>
        <v>2730</v>
      </c>
      <c r="AD113" s="128">
        <f t="shared" si="2"/>
        <v>0</v>
      </c>
      <c r="AE113" s="128">
        <f t="shared" si="2"/>
        <v>2</v>
      </c>
      <c r="AF113" s="128">
        <f t="shared" si="2"/>
        <v>21</v>
      </c>
      <c r="AG113" s="128">
        <f t="shared" si="2"/>
        <v>0</v>
      </c>
      <c r="AH113" s="128">
        <f t="shared" si="2"/>
        <v>0</v>
      </c>
      <c r="AI113" s="128">
        <f t="shared" si="2"/>
        <v>2753</v>
      </c>
      <c r="AJ113" s="130">
        <f t="shared" si="2"/>
        <v>0</v>
      </c>
      <c r="AK113" s="140">
        <f t="shared" si="2"/>
        <v>2753</v>
      </c>
    </row>
    <row r="114" spans="1:37" ht="14.4">
      <c r="A114" s="179" t="s">
        <v>166</v>
      </c>
      <c r="B114" s="184"/>
      <c r="C114" s="180">
        <v>3617</v>
      </c>
      <c r="D114" s="179"/>
      <c r="E114" s="180"/>
      <c r="F114" s="179"/>
      <c r="G114" s="180"/>
      <c r="H114" s="180"/>
      <c r="I114" s="189">
        <v>3617</v>
      </c>
      <c r="J114" s="187"/>
      <c r="K114" s="189">
        <v>3617</v>
      </c>
      <c r="L114" s="179"/>
      <c r="M114" s="189"/>
      <c r="N114" s="189"/>
      <c r="O114" s="189">
        <v>0</v>
      </c>
      <c r="P114" s="189"/>
      <c r="Q114" s="189">
        <v>0</v>
      </c>
      <c r="R114" s="179"/>
      <c r="S114" s="179"/>
      <c r="T114" s="179"/>
      <c r="U114" s="179"/>
      <c r="V114" s="179"/>
      <c r="W114" s="179"/>
      <c r="X114" s="179"/>
      <c r="Y114" s="179"/>
      <c r="AA114" s="120" t="s">
        <v>166</v>
      </c>
      <c r="AB114" s="138"/>
      <c r="AC114" s="128">
        <f t="shared" si="2"/>
        <v>3617</v>
      </c>
      <c r="AD114" s="128">
        <f t="shared" si="2"/>
        <v>0</v>
      </c>
      <c r="AE114" s="128">
        <f t="shared" si="2"/>
        <v>0</v>
      </c>
      <c r="AF114" s="128">
        <f t="shared" si="2"/>
        <v>0</v>
      </c>
      <c r="AG114" s="128">
        <f t="shared" si="2"/>
        <v>0</v>
      </c>
      <c r="AH114" s="128">
        <f t="shared" si="2"/>
        <v>0</v>
      </c>
      <c r="AI114" s="128">
        <f t="shared" si="2"/>
        <v>3617</v>
      </c>
      <c r="AJ114" s="130">
        <f t="shared" si="2"/>
        <v>0</v>
      </c>
      <c r="AK114" s="140">
        <f t="shared" si="2"/>
        <v>-13300.330943327237</v>
      </c>
    </row>
    <row r="115" spans="1:37" ht="14.4">
      <c r="A115" s="179"/>
      <c r="B115" s="184"/>
      <c r="C115" s="180"/>
      <c r="D115" s="179"/>
      <c r="E115" s="180"/>
      <c r="F115" s="179"/>
      <c r="G115" s="180"/>
      <c r="H115" s="180"/>
      <c r="I115" s="179"/>
      <c r="J115" s="187"/>
      <c r="K115" s="179"/>
      <c r="L115" s="179"/>
      <c r="M115" s="179"/>
      <c r="N115" s="179"/>
      <c r="O115" s="179"/>
      <c r="P115" s="179"/>
      <c r="Q115" s="179"/>
      <c r="R115" s="179"/>
      <c r="S115" s="179"/>
      <c r="T115" s="189">
        <v>284.24</v>
      </c>
      <c r="U115" s="179"/>
      <c r="V115" s="179"/>
      <c r="W115" s="179"/>
      <c r="X115" s="179"/>
      <c r="Y115" s="179"/>
      <c r="AB115" s="138"/>
      <c r="AC115" s="128">
        <f t="shared" si="2"/>
        <v>0</v>
      </c>
      <c r="AD115" s="128">
        <f t="shared" si="2"/>
        <v>0</v>
      </c>
      <c r="AE115" s="128">
        <f t="shared" si="2"/>
        <v>0</v>
      </c>
      <c r="AF115" s="128">
        <f t="shared" si="2"/>
        <v>0</v>
      </c>
      <c r="AG115" s="128">
        <f t="shared" si="2"/>
        <v>0</v>
      </c>
      <c r="AH115" s="128">
        <f t="shared" si="2"/>
        <v>0</v>
      </c>
      <c r="AI115" s="128">
        <f t="shared" si="2"/>
        <v>0</v>
      </c>
      <c r="AJ115" s="130">
        <f t="shared" si="2"/>
        <v>0</v>
      </c>
      <c r="AK115" s="128">
        <f t="shared" si="2"/>
        <v>-6660.0517582020475</v>
      </c>
    </row>
    <row r="116" spans="1:37" ht="14.4">
      <c r="A116" s="179" t="s">
        <v>167</v>
      </c>
      <c r="B116" s="184"/>
      <c r="C116" s="180"/>
      <c r="D116" s="179"/>
      <c r="E116" s="180"/>
      <c r="F116" s="179"/>
      <c r="G116" s="180"/>
      <c r="H116" s="180"/>
      <c r="I116" s="179"/>
      <c r="J116" s="187"/>
      <c r="K116" s="179"/>
      <c r="L116" s="179"/>
      <c r="M116" s="179"/>
      <c r="N116" s="179"/>
      <c r="O116" s="179"/>
      <c r="P116" s="179"/>
      <c r="Q116" s="179"/>
      <c r="R116" s="179"/>
      <c r="S116" s="179"/>
      <c r="T116" s="189">
        <v>-284.24</v>
      </c>
      <c r="U116" s="186" t="s">
        <v>168</v>
      </c>
      <c r="V116" s="179"/>
      <c r="W116" s="179"/>
      <c r="X116" s="186" t="s">
        <v>169</v>
      </c>
      <c r="Y116" s="179"/>
      <c r="AA116" s="120" t="s">
        <v>167</v>
      </c>
      <c r="AB116" s="138"/>
      <c r="AC116" s="128">
        <f t="shared" si="2"/>
        <v>0</v>
      </c>
      <c r="AD116" s="128">
        <f t="shared" si="2"/>
        <v>0</v>
      </c>
      <c r="AE116" s="128">
        <f t="shared" si="2"/>
        <v>0</v>
      </c>
      <c r="AF116" s="128">
        <f t="shared" si="2"/>
        <v>0</v>
      </c>
      <c r="AG116" s="128">
        <f t="shared" si="2"/>
        <v>0</v>
      </c>
      <c r="AH116" s="128">
        <f t="shared" si="2"/>
        <v>0</v>
      </c>
      <c r="AI116" s="128">
        <f t="shared" si="2"/>
        <v>0</v>
      </c>
      <c r="AJ116" s="130">
        <f t="shared" si="2"/>
        <v>0</v>
      </c>
      <c r="AK116" s="128">
        <f t="shared" si="2"/>
        <v>-5486.9068051513486</v>
      </c>
    </row>
    <row r="117" spans="1:37" ht="14.4">
      <c r="A117" s="179" t="s">
        <v>170</v>
      </c>
      <c r="B117" s="184"/>
      <c r="C117" s="207">
        <v>4580</v>
      </c>
      <c r="D117" s="179"/>
      <c r="E117" s="207">
        <v>400</v>
      </c>
      <c r="F117" s="179"/>
      <c r="G117" s="180"/>
      <c r="H117" s="197"/>
      <c r="I117" s="189">
        <v>4980</v>
      </c>
      <c r="J117" s="187"/>
      <c r="K117" s="189">
        <v>4980</v>
      </c>
      <c r="L117" s="179"/>
      <c r="M117" s="189"/>
      <c r="N117" s="189"/>
      <c r="O117" s="189">
        <v>400</v>
      </c>
      <c r="P117" s="189"/>
      <c r="Q117" s="189">
        <v>0</v>
      </c>
      <c r="R117" s="179"/>
      <c r="S117" s="179"/>
      <c r="T117" s="179"/>
      <c r="U117" s="186" t="s">
        <v>171</v>
      </c>
      <c r="V117" s="179"/>
      <c r="W117" s="179"/>
      <c r="X117" s="189">
        <v>335.5172</v>
      </c>
      <c r="Y117" s="186" t="s">
        <v>172</v>
      </c>
      <c r="AA117" s="120" t="s">
        <v>170</v>
      </c>
      <c r="AB117" s="138"/>
      <c r="AC117" s="130">
        <f t="shared" si="2"/>
        <v>4580</v>
      </c>
      <c r="AD117" s="128">
        <f t="shared" si="2"/>
        <v>0</v>
      </c>
      <c r="AE117" s="130">
        <f t="shared" si="2"/>
        <v>400</v>
      </c>
      <c r="AF117" s="128">
        <f t="shared" si="2"/>
        <v>0</v>
      </c>
      <c r="AG117" s="128">
        <f t="shared" si="2"/>
        <v>0</v>
      </c>
      <c r="AH117" s="134">
        <f t="shared" si="2"/>
        <v>0</v>
      </c>
      <c r="AI117" s="128">
        <f t="shared" si="2"/>
        <v>4980</v>
      </c>
      <c r="AJ117" s="130">
        <f t="shared" si="2"/>
        <v>0</v>
      </c>
      <c r="AK117" s="128">
        <f t="shared" si="2"/>
        <v>3806.8550469493011</v>
      </c>
    </row>
    <row r="118" spans="1:37" ht="14.4">
      <c r="A118" s="179" t="s">
        <v>173</v>
      </c>
      <c r="B118" s="184"/>
      <c r="C118" s="207">
        <v>9690</v>
      </c>
      <c r="D118" s="179"/>
      <c r="E118" s="207">
        <v>773</v>
      </c>
      <c r="F118" s="179"/>
      <c r="G118" s="180"/>
      <c r="H118" s="180"/>
      <c r="I118" s="189">
        <v>10463</v>
      </c>
      <c r="J118" s="207"/>
      <c r="K118" s="189">
        <v>10463</v>
      </c>
      <c r="L118" s="179"/>
      <c r="M118" s="189"/>
      <c r="N118" s="189"/>
      <c r="O118" s="189">
        <v>773</v>
      </c>
      <c r="P118" s="189"/>
      <c r="Q118" s="189">
        <v>0</v>
      </c>
      <c r="R118" s="179"/>
      <c r="S118" s="179"/>
      <c r="T118" s="179"/>
      <c r="U118" s="186" t="s">
        <v>174</v>
      </c>
      <c r="V118" s="179"/>
      <c r="W118" s="179"/>
      <c r="X118" s="272">
        <v>500.93560000000002</v>
      </c>
      <c r="Y118" s="186" t="s">
        <v>175</v>
      </c>
      <c r="AA118" s="120" t="s">
        <v>173</v>
      </c>
      <c r="AB118" s="138"/>
      <c r="AC118" s="130">
        <f t="shared" si="2"/>
        <v>9690</v>
      </c>
      <c r="AD118" s="128">
        <f t="shared" si="2"/>
        <v>0</v>
      </c>
      <c r="AE118" s="130">
        <f t="shared" si="2"/>
        <v>773</v>
      </c>
      <c r="AF118" s="128">
        <f t="shared" si="2"/>
        <v>0</v>
      </c>
      <c r="AG118" s="128">
        <f t="shared" si="2"/>
        <v>0</v>
      </c>
      <c r="AH118" s="128">
        <f t="shared" si="2"/>
        <v>0</v>
      </c>
      <c r="AI118" s="128">
        <f t="shared" si="2"/>
        <v>10463</v>
      </c>
      <c r="AJ118" s="130">
        <f t="shared" si="2"/>
        <v>0</v>
      </c>
      <c r="AK118" s="128">
        <f t="shared" si="2"/>
        <v>10463</v>
      </c>
    </row>
    <row r="119" spans="1:37" ht="14.4">
      <c r="A119" s="179" t="s">
        <v>176</v>
      </c>
      <c r="B119" s="184"/>
      <c r="C119" s="207">
        <v>737</v>
      </c>
      <c r="D119" s="179"/>
      <c r="E119" s="207"/>
      <c r="F119" s="179"/>
      <c r="G119" s="180"/>
      <c r="H119" s="180"/>
      <c r="I119" s="189">
        <v>737</v>
      </c>
      <c r="J119" s="187"/>
      <c r="K119" s="189">
        <v>737</v>
      </c>
      <c r="L119" s="179"/>
      <c r="M119" s="189"/>
      <c r="N119" s="189"/>
      <c r="O119" s="189">
        <v>0</v>
      </c>
      <c r="P119" s="189"/>
      <c r="Q119" s="189">
        <v>0</v>
      </c>
      <c r="R119" s="179"/>
      <c r="S119" s="179"/>
      <c r="T119" s="179"/>
      <c r="U119" s="186" t="s">
        <v>177</v>
      </c>
      <c r="V119" s="179"/>
      <c r="W119" s="179"/>
      <c r="X119" s="189">
        <v>-165.41840000000002</v>
      </c>
      <c r="Y119" s="186" t="s">
        <v>175</v>
      </c>
      <c r="AA119" s="120" t="s">
        <v>176</v>
      </c>
      <c r="AB119" s="138"/>
      <c r="AC119" s="130">
        <f t="shared" si="2"/>
        <v>737</v>
      </c>
      <c r="AD119" s="128">
        <f t="shared" si="2"/>
        <v>0</v>
      </c>
      <c r="AE119" s="130">
        <f t="shared" si="2"/>
        <v>0</v>
      </c>
      <c r="AF119" s="128">
        <f t="shared" si="2"/>
        <v>0</v>
      </c>
      <c r="AG119" s="128">
        <f t="shared" si="2"/>
        <v>0</v>
      </c>
      <c r="AH119" s="128">
        <f t="shared" si="2"/>
        <v>0</v>
      </c>
      <c r="AI119" s="128">
        <f t="shared" si="2"/>
        <v>737</v>
      </c>
      <c r="AJ119" s="130">
        <f t="shared" si="2"/>
        <v>0</v>
      </c>
      <c r="AK119" s="128">
        <f t="shared" si="2"/>
        <v>-9520.2791851251895</v>
      </c>
    </row>
    <row r="120" spans="1:37" ht="14.4">
      <c r="A120" s="179" t="s">
        <v>178</v>
      </c>
      <c r="B120" s="184"/>
      <c r="C120" s="209">
        <v>7142</v>
      </c>
      <c r="D120" s="191"/>
      <c r="E120" s="209">
        <v>754</v>
      </c>
      <c r="F120" s="191"/>
      <c r="G120" s="181"/>
      <c r="H120" s="181"/>
      <c r="I120" s="190">
        <v>7896</v>
      </c>
      <c r="J120" s="266"/>
      <c r="K120" s="190">
        <v>7896</v>
      </c>
      <c r="L120" s="179"/>
      <c r="M120" s="201"/>
      <c r="N120" s="201"/>
      <c r="O120" s="190">
        <v>754</v>
      </c>
      <c r="P120" s="201"/>
      <c r="Q120" s="190">
        <v>0</v>
      </c>
      <c r="R120" s="179"/>
      <c r="S120" s="179"/>
      <c r="T120" s="179"/>
      <c r="U120" s="179"/>
      <c r="V120" s="179"/>
      <c r="W120" s="179"/>
      <c r="X120" s="179"/>
      <c r="Y120" s="179"/>
      <c r="AA120" s="120" t="s">
        <v>178</v>
      </c>
      <c r="AB120" s="138"/>
      <c r="AC120" s="132">
        <f t="shared" si="2"/>
        <v>7142</v>
      </c>
      <c r="AD120" s="133">
        <f t="shared" si="2"/>
        <v>0</v>
      </c>
      <c r="AE120" s="132">
        <f t="shared" si="2"/>
        <v>754</v>
      </c>
      <c r="AF120" s="133">
        <f t="shared" si="2"/>
        <v>0</v>
      </c>
      <c r="AG120" s="133">
        <f t="shared" si="2"/>
        <v>0</v>
      </c>
      <c r="AH120" s="133">
        <f t="shared" si="2"/>
        <v>0</v>
      </c>
      <c r="AI120" s="133">
        <f t="shared" si="2"/>
        <v>7896</v>
      </c>
      <c r="AJ120" s="132">
        <f t="shared" si="2"/>
        <v>0</v>
      </c>
      <c r="AK120" s="133">
        <f t="shared" si="2"/>
        <v>7895.4043176475052</v>
      </c>
    </row>
    <row r="121" spans="1:37" ht="14.4">
      <c r="A121" s="179"/>
      <c r="B121" s="184"/>
      <c r="C121" s="207">
        <v>22149</v>
      </c>
      <c r="D121" s="179"/>
      <c r="E121" s="207">
        <v>1927</v>
      </c>
      <c r="F121" s="180">
        <v>0</v>
      </c>
      <c r="G121" s="180">
        <v>0</v>
      </c>
      <c r="H121" s="180">
        <v>0</v>
      </c>
      <c r="I121" s="180">
        <v>24076</v>
      </c>
      <c r="J121" s="207">
        <v>0</v>
      </c>
      <c r="K121" s="180">
        <v>24076</v>
      </c>
      <c r="L121" s="179"/>
      <c r="M121" s="180"/>
      <c r="N121" s="180"/>
      <c r="O121" s="180">
        <v>1927</v>
      </c>
      <c r="P121" s="180"/>
      <c r="Q121" s="180">
        <v>0</v>
      </c>
      <c r="R121" s="179"/>
      <c r="S121" s="179"/>
      <c r="T121" s="179"/>
      <c r="U121" s="179"/>
      <c r="V121" s="179"/>
      <c r="W121" s="179"/>
      <c r="X121" s="179"/>
      <c r="Y121" s="179"/>
      <c r="AB121" s="138"/>
      <c r="AC121" s="130">
        <f t="shared" si="2"/>
        <v>22149</v>
      </c>
      <c r="AD121" s="128">
        <f t="shared" si="2"/>
        <v>0</v>
      </c>
      <c r="AE121" s="130">
        <f t="shared" si="2"/>
        <v>1927</v>
      </c>
      <c r="AF121" s="128">
        <f t="shared" si="2"/>
        <v>0</v>
      </c>
      <c r="AG121" s="128">
        <f t="shared" si="2"/>
        <v>0</v>
      </c>
      <c r="AH121" s="128">
        <f t="shared" si="2"/>
        <v>0</v>
      </c>
      <c r="AI121" s="128">
        <f t="shared" si="2"/>
        <v>24076</v>
      </c>
      <c r="AJ121" s="130">
        <f t="shared" si="2"/>
        <v>0</v>
      </c>
      <c r="AK121" s="140">
        <f t="shared" si="2"/>
        <v>24076</v>
      </c>
    </row>
    <row r="122" spans="1:37" ht="14.4">
      <c r="A122" s="179" t="s">
        <v>179</v>
      </c>
      <c r="B122" s="184"/>
      <c r="C122" s="219"/>
      <c r="D122" s="179"/>
      <c r="E122" s="207"/>
      <c r="F122" s="179"/>
      <c r="G122" s="180"/>
      <c r="H122" s="180"/>
      <c r="I122" s="179"/>
      <c r="J122" s="187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AA122" s="120" t="s">
        <v>179</v>
      </c>
      <c r="AB122" s="138"/>
      <c r="AC122" s="141">
        <f t="shared" si="2"/>
        <v>0</v>
      </c>
      <c r="AD122" s="128">
        <f t="shared" si="2"/>
        <v>0</v>
      </c>
      <c r="AE122" s="130">
        <f t="shared" si="2"/>
        <v>0</v>
      </c>
      <c r="AF122" s="128">
        <f t="shared" si="2"/>
        <v>0</v>
      </c>
      <c r="AG122" s="128">
        <f t="shared" si="2"/>
        <v>0</v>
      </c>
      <c r="AH122" s="128">
        <f t="shared" si="2"/>
        <v>0</v>
      </c>
      <c r="AI122" s="128">
        <f t="shared" si="2"/>
        <v>0</v>
      </c>
      <c r="AJ122" s="130">
        <f t="shared" si="2"/>
        <v>0</v>
      </c>
      <c r="AK122" s="128">
        <f t="shared" si="2"/>
        <v>-10552.775973267757</v>
      </c>
    </row>
    <row r="123" spans="1:37" ht="14.4">
      <c r="A123" s="179" t="s">
        <v>180</v>
      </c>
      <c r="B123" s="184"/>
      <c r="C123" s="207">
        <v>827</v>
      </c>
      <c r="D123" s="179"/>
      <c r="E123" s="207">
        <v>189</v>
      </c>
      <c r="F123" s="187">
        <v>135</v>
      </c>
      <c r="G123" s="180"/>
      <c r="H123" s="180"/>
      <c r="I123" s="189">
        <v>1151</v>
      </c>
      <c r="J123" s="187"/>
      <c r="K123" s="189">
        <v>1151</v>
      </c>
      <c r="L123" s="179"/>
      <c r="M123" s="189"/>
      <c r="N123" s="189"/>
      <c r="O123" s="189">
        <v>189</v>
      </c>
      <c r="P123" s="189"/>
      <c r="Q123" s="189">
        <v>135</v>
      </c>
      <c r="R123" s="179"/>
      <c r="S123" s="179"/>
      <c r="T123" s="179"/>
      <c r="U123" s="179"/>
      <c r="V123" s="179"/>
      <c r="W123" s="179"/>
      <c r="X123" s="179"/>
      <c r="Y123" s="179"/>
      <c r="AA123" s="120" t="s">
        <v>180</v>
      </c>
      <c r="AB123" s="138"/>
      <c r="AC123" s="130">
        <f t="shared" si="2"/>
        <v>827</v>
      </c>
      <c r="AD123" s="128">
        <f t="shared" si="2"/>
        <v>0</v>
      </c>
      <c r="AE123" s="130">
        <f t="shared" si="2"/>
        <v>189</v>
      </c>
      <c r="AF123" s="130">
        <f t="shared" si="2"/>
        <v>135</v>
      </c>
      <c r="AG123" s="128">
        <f t="shared" si="2"/>
        <v>0</v>
      </c>
      <c r="AH123" s="128">
        <f t="shared" si="2"/>
        <v>0</v>
      </c>
      <c r="AI123" s="128">
        <f t="shared" si="2"/>
        <v>1151</v>
      </c>
      <c r="AJ123" s="130">
        <f t="shared" si="2"/>
        <v>0</v>
      </c>
      <c r="AK123" s="140">
        <f t="shared" si="2"/>
        <v>-4557.2018461197977</v>
      </c>
    </row>
    <row r="124" spans="1:37" ht="14.4">
      <c r="A124" s="179" t="s">
        <v>181</v>
      </c>
      <c r="B124" s="184"/>
      <c r="C124" s="207">
        <v>6748</v>
      </c>
      <c r="D124" s="179"/>
      <c r="E124" s="207">
        <v>211</v>
      </c>
      <c r="F124" s="180">
        <v>100</v>
      </c>
      <c r="G124" s="180"/>
      <c r="H124" s="180"/>
      <c r="I124" s="189">
        <v>7059</v>
      </c>
      <c r="J124" s="187"/>
      <c r="K124" s="189">
        <v>7059</v>
      </c>
      <c r="L124" s="179"/>
      <c r="M124" s="189"/>
      <c r="N124" s="189"/>
      <c r="O124" s="189">
        <v>211</v>
      </c>
      <c r="P124" s="189"/>
      <c r="Q124" s="189">
        <v>100</v>
      </c>
      <c r="R124" s="179"/>
      <c r="S124" s="179"/>
      <c r="T124" s="179"/>
      <c r="U124" s="179"/>
      <c r="V124" s="179"/>
      <c r="W124" s="179"/>
      <c r="X124" s="179"/>
      <c r="Y124" s="179"/>
      <c r="AA124" s="120" t="s">
        <v>181</v>
      </c>
      <c r="AB124" s="138"/>
      <c r="AC124" s="130">
        <f t="shared" ref="AC124:AK139" si="3">C124-C177</f>
        <v>6748</v>
      </c>
      <c r="AD124" s="128">
        <f t="shared" si="3"/>
        <v>0</v>
      </c>
      <c r="AE124" s="130">
        <f t="shared" si="3"/>
        <v>211</v>
      </c>
      <c r="AF124" s="128">
        <f t="shared" si="3"/>
        <v>100</v>
      </c>
      <c r="AG124" s="128">
        <f t="shared" si="3"/>
        <v>0</v>
      </c>
      <c r="AH124" s="128">
        <f t="shared" si="3"/>
        <v>0</v>
      </c>
      <c r="AI124" s="128">
        <f t="shared" si="3"/>
        <v>7059</v>
      </c>
      <c r="AJ124" s="130">
        <f t="shared" si="3"/>
        <v>0</v>
      </c>
      <c r="AK124" s="128">
        <f t="shared" si="3"/>
        <v>2214.4258728520408</v>
      </c>
    </row>
    <row r="125" spans="1:37" ht="14.4">
      <c r="A125" s="179" t="s">
        <v>182</v>
      </c>
      <c r="B125" s="184"/>
      <c r="C125" s="207">
        <v>8866</v>
      </c>
      <c r="D125" s="179"/>
      <c r="E125" s="207">
        <v>4</v>
      </c>
      <c r="F125" s="180"/>
      <c r="G125" s="180"/>
      <c r="H125" s="180"/>
      <c r="I125" s="189">
        <v>8870</v>
      </c>
      <c r="J125" s="204"/>
      <c r="K125" s="189">
        <v>8870</v>
      </c>
      <c r="L125" s="179"/>
      <c r="M125" s="189"/>
      <c r="N125" s="180"/>
      <c r="O125" s="189">
        <v>4</v>
      </c>
      <c r="P125" s="189"/>
      <c r="Q125" s="189">
        <v>0</v>
      </c>
      <c r="R125" s="179"/>
      <c r="S125" s="179"/>
      <c r="T125" s="179"/>
      <c r="U125" s="179"/>
      <c r="V125" s="179"/>
      <c r="W125" s="179"/>
      <c r="X125" s="179"/>
      <c r="Y125" s="179"/>
      <c r="AA125" s="120" t="s">
        <v>182</v>
      </c>
      <c r="AB125" s="138"/>
      <c r="AC125" s="130">
        <f t="shared" si="3"/>
        <v>8866</v>
      </c>
      <c r="AD125" s="128">
        <f t="shared" si="3"/>
        <v>0</v>
      </c>
      <c r="AE125" s="130">
        <f t="shared" si="3"/>
        <v>4</v>
      </c>
      <c r="AF125" s="128">
        <f t="shared" si="3"/>
        <v>0</v>
      </c>
      <c r="AG125" s="128">
        <f t="shared" si="3"/>
        <v>0</v>
      </c>
      <c r="AH125" s="128">
        <f t="shared" si="3"/>
        <v>0</v>
      </c>
      <c r="AI125" s="128">
        <f t="shared" si="3"/>
        <v>8870</v>
      </c>
      <c r="AJ125" s="130">
        <f t="shared" si="3"/>
        <v>0</v>
      </c>
      <c r="AK125" s="140">
        <f t="shared" si="3"/>
        <v>6339.2422282276839</v>
      </c>
    </row>
    <row r="126" spans="1:37" ht="14.4">
      <c r="A126" s="179" t="s">
        <v>183</v>
      </c>
      <c r="B126" s="184"/>
      <c r="C126" s="209">
        <v>574</v>
      </c>
      <c r="D126" s="191"/>
      <c r="E126" s="209">
        <v>0</v>
      </c>
      <c r="F126" s="191"/>
      <c r="G126" s="181"/>
      <c r="H126" s="181"/>
      <c r="I126" s="190">
        <v>574</v>
      </c>
      <c r="J126" s="209"/>
      <c r="K126" s="190">
        <v>574</v>
      </c>
      <c r="L126" s="179"/>
      <c r="M126" s="201"/>
      <c r="N126" s="201"/>
      <c r="O126" s="190">
        <v>0</v>
      </c>
      <c r="P126" s="201"/>
      <c r="Q126" s="190">
        <v>0</v>
      </c>
      <c r="R126" s="179"/>
      <c r="S126" s="179"/>
      <c r="T126" s="263"/>
      <c r="U126" s="179"/>
      <c r="V126" s="179"/>
      <c r="W126" s="179"/>
      <c r="X126" s="179"/>
      <c r="Y126" s="179"/>
      <c r="AA126" s="120" t="s">
        <v>183</v>
      </c>
      <c r="AB126" s="138"/>
      <c r="AC126" s="132">
        <f t="shared" si="3"/>
        <v>574</v>
      </c>
      <c r="AD126" s="133">
        <f t="shared" si="3"/>
        <v>0</v>
      </c>
      <c r="AE126" s="132">
        <f t="shared" si="3"/>
        <v>0</v>
      </c>
      <c r="AF126" s="133">
        <f t="shared" si="3"/>
        <v>0</v>
      </c>
      <c r="AG126" s="133">
        <f t="shared" si="3"/>
        <v>0</v>
      </c>
      <c r="AH126" s="133">
        <f t="shared" si="3"/>
        <v>0</v>
      </c>
      <c r="AI126" s="133">
        <f t="shared" si="3"/>
        <v>574</v>
      </c>
      <c r="AJ126" s="132">
        <f t="shared" si="3"/>
        <v>0</v>
      </c>
      <c r="AK126" s="142">
        <f t="shared" si="3"/>
        <v>-1399.1285357426675</v>
      </c>
    </row>
    <row r="127" spans="1:37" ht="14.4">
      <c r="A127" s="179"/>
      <c r="B127" s="184"/>
      <c r="C127" s="207">
        <v>17015</v>
      </c>
      <c r="D127" s="180">
        <v>0</v>
      </c>
      <c r="E127" s="180">
        <v>404</v>
      </c>
      <c r="F127" s="180">
        <v>235</v>
      </c>
      <c r="G127" s="180">
        <v>0</v>
      </c>
      <c r="H127" s="180">
        <v>0</v>
      </c>
      <c r="I127" s="180">
        <v>17654</v>
      </c>
      <c r="J127" s="207">
        <v>0</v>
      </c>
      <c r="K127" s="180">
        <v>17654</v>
      </c>
      <c r="L127" s="179"/>
      <c r="M127" s="180"/>
      <c r="N127" s="180"/>
      <c r="O127" s="180">
        <v>404</v>
      </c>
      <c r="P127" s="180"/>
      <c r="Q127" s="180">
        <v>235</v>
      </c>
      <c r="R127" s="179"/>
      <c r="S127" s="179"/>
      <c r="T127" s="179"/>
      <c r="U127" s="179"/>
      <c r="V127" s="179"/>
      <c r="W127" s="179"/>
      <c r="X127" s="179"/>
      <c r="Y127" s="179"/>
      <c r="AB127" s="138"/>
      <c r="AC127" s="130">
        <f t="shared" si="3"/>
        <v>17015</v>
      </c>
      <c r="AD127" s="128">
        <f t="shared" si="3"/>
        <v>0</v>
      </c>
      <c r="AE127" s="128">
        <f t="shared" si="3"/>
        <v>404</v>
      </c>
      <c r="AF127" s="128">
        <f t="shared" si="3"/>
        <v>235</v>
      </c>
      <c r="AG127" s="128">
        <f t="shared" si="3"/>
        <v>0</v>
      </c>
      <c r="AH127" s="128">
        <f t="shared" si="3"/>
        <v>0</v>
      </c>
      <c r="AI127" s="128">
        <f t="shared" si="3"/>
        <v>17654</v>
      </c>
      <c r="AJ127" s="130">
        <f t="shared" si="3"/>
        <v>0</v>
      </c>
      <c r="AK127" s="128">
        <f t="shared" si="3"/>
        <v>17452.97853897035</v>
      </c>
    </row>
    <row r="128" spans="1:37" ht="14.4">
      <c r="A128" s="179"/>
      <c r="B128" s="184"/>
      <c r="C128" s="207"/>
      <c r="D128" s="179"/>
      <c r="E128" s="180"/>
      <c r="F128" s="179"/>
      <c r="G128" s="180"/>
      <c r="H128" s="180"/>
      <c r="I128" s="179"/>
      <c r="J128" s="187"/>
      <c r="K128" s="179"/>
      <c r="L128" s="179"/>
      <c r="M128" s="179"/>
      <c r="N128" s="189"/>
      <c r="O128" s="189">
        <v>0</v>
      </c>
      <c r="P128" s="189"/>
      <c r="Q128" s="189">
        <v>0</v>
      </c>
      <c r="R128" s="179"/>
      <c r="S128" s="179"/>
      <c r="T128" s="179"/>
      <c r="U128" s="179"/>
      <c r="V128" s="179"/>
      <c r="W128" s="179"/>
      <c r="X128" s="179"/>
      <c r="Y128" s="179"/>
      <c r="AB128" s="138"/>
      <c r="AC128" s="130">
        <f t="shared" si="3"/>
        <v>0</v>
      </c>
      <c r="AD128" s="128">
        <f t="shared" si="3"/>
        <v>0</v>
      </c>
      <c r="AE128" s="128">
        <f t="shared" si="3"/>
        <v>0</v>
      </c>
      <c r="AF128" s="128">
        <f t="shared" si="3"/>
        <v>0</v>
      </c>
      <c r="AG128" s="128">
        <f t="shared" si="3"/>
        <v>0</v>
      </c>
      <c r="AH128" s="128">
        <f t="shared" si="3"/>
        <v>0</v>
      </c>
      <c r="AI128" s="128">
        <f t="shared" si="3"/>
        <v>0</v>
      </c>
      <c r="AJ128" s="130">
        <f t="shared" si="3"/>
        <v>0</v>
      </c>
      <c r="AK128" s="128">
        <f t="shared" si="3"/>
        <v>-356.607775</v>
      </c>
    </row>
    <row r="129" spans="1:37" ht="14.4">
      <c r="A129" s="187" t="s">
        <v>184</v>
      </c>
      <c r="B129" s="188"/>
      <c r="C129" s="207">
        <v>-3569</v>
      </c>
      <c r="D129" s="179"/>
      <c r="E129" s="180">
        <v>17</v>
      </c>
      <c r="F129" s="179"/>
      <c r="G129" s="180"/>
      <c r="H129" s="180"/>
      <c r="I129" s="189">
        <v>-3552</v>
      </c>
      <c r="J129" s="187"/>
      <c r="K129" s="189">
        <v>-3552</v>
      </c>
      <c r="L129" s="179"/>
      <c r="M129" s="189"/>
      <c r="N129" s="189"/>
      <c r="O129" s="189">
        <v>17</v>
      </c>
      <c r="P129" s="189"/>
      <c r="Q129" s="189">
        <v>0</v>
      </c>
      <c r="R129" s="179"/>
      <c r="S129" s="179"/>
      <c r="T129" s="179"/>
      <c r="AA129" s="122" t="s">
        <v>184</v>
      </c>
      <c r="AB129" s="143"/>
      <c r="AC129" s="130">
        <f t="shared" si="3"/>
        <v>-3569</v>
      </c>
      <c r="AD129" s="128">
        <f t="shared" si="3"/>
        <v>0</v>
      </c>
      <c r="AE129" s="128">
        <f t="shared" si="3"/>
        <v>17</v>
      </c>
      <c r="AF129" s="128">
        <f t="shared" si="3"/>
        <v>0</v>
      </c>
      <c r="AG129" s="128">
        <f t="shared" si="3"/>
        <v>0</v>
      </c>
      <c r="AH129" s="128">
        <f t="shared" si="3"/>
        <v>0</v>
      </c>
      <c r="AI129" s="128">
        <f t="shared" si="3"/>
        <v>-3552</v>
      </c>
      <c r="AJ129" s="130">
        <f t="shared" si="3"/>
        <v>0</v>
      </c>
      <c r="AK129" s="128">
        <f t="shared" si="3"/>
        <v>-3333.6666666666665</v>
      </c>
    </row>
    <row r="130" spans="1:37" ht="14.4">
      <c r="A130" s="179" t="s">
        <v>185</v>
      </c>
      <c r="B130" s="184"/>
      <c r="C130" s="209">
        <v>1395</v>
      </c>
      <c r="D130" s="191"/>
      <c r="E130" s="209">
        <v>0</v>
      </c>
      <c r="F130" s="181"/>
      <c r="G130" s="181"/>
      <c r="H130" s="181"/>
      <c r="I130" s="190">
        <v>1395</v>
      </c>
      <c r="J130" s="191"/>
      <c r="K130" s="190">
        <v>1395</v>
      </c>
      <c r="L130" s="179"/>
      <c r="M130" s="201"/>
      <c r="N130" s="201"/>
      <c r="O130" s="190">
        <v>0</v>
      </c>
      <c r="P130" s="201"/>
      <c r="Q130" s="190">
        <v>0</v>
      </c>
      <c r="R130" s="179"/>
      <c r="S130" s="179"/>
      <c r="T130" s="179"/>
      <c r="AA130" s="120" t="s">
        <v>185</v>
      </c>
      <c r="AB130" s="138"/>
      <c r="AC130" s="132">
        <f t="shared" si="3"/>
        <v>1395</v>
      </c>
      <c r="AD130" s="133">
        <f t="shared" si="3"/>
        <v>0</v>
      </c>
      <c r="AE130" s="132">
        <f t="shared" si="3"/>
        <v>0</v>
      </c>
      <c r="AF130" s="133">
        <f t="shared" si="3"/>
        <v>0</v>
      </c>
      <c r="AG130" s="133">
        <f t="shared" si="3"/>
        <v>0</v>
      </c>
      <c r="AH130" s="133">
        <f t="shared" si="3"/>
        <v>0</v>
      </c>
      <c r="AI130" s="133">
        <f t="shared" si="3"/>
        <v>1395</v>
      </c>
      <c r="AJ130" s="133">
        <f t="shared" si="3"/>
        <v>0</v>
      </c>
      <c r="AK130" s="142">
        <f t="shared" si="3"/>
        <v>1355</v>
      </c>
    </row>
    <row r="131" spans="1:37" ht="14.4">
      <c r="A131" s="179"/>
      <c r="B131" s="184"/>
      <c r="C131" s="207"/>
      <c r="D131" s="179"/>
      <c r="E131" s="180"/>
      <c r="F131" s="179"/>
      <c r="G131" s="180"/>
      <c r="H131" s="180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AB131" s="138"/>
      <c r="AC131" s="130">
        <f t="shared" si="3"/>
        <v>0</v>
      </c>
      <c r="AD131" s="128">
        <f t="shared" si="3"/>
        <v>0</v>
      </c>
      <c r="AE131" s="128">
        <f t="shared" si="3"/>
        <v>0</v>
      </c>
      <c r="AF131" s="128">
        <f t="shared" si="3"/>
        <v>0</v>
      </c>
      <c r="AG131" s="128">
        <f t="shared" si="3"/>
        <v>0</v>
      </c>
      <c r="AH131" s="128">
        <f t="shared" si="3"/>
        <v>0</v>
      </c>
      <c r="AI131" s="128">
        <f t="shared" si="3"/>
        <v>0</v>
      </c>
      <c r="AJ131" s="128">
        <f t="shared" si="3"/>
        <v>0</v>
      </c>
      <c r="AK131" s="128">
        <f t="shared" si="3"/>
        <v>-250</v>
      </c>
    </row>
    <row r="132" spans="1:37" ht="14.4">
      <c r="A132" s="179" t="s">
        <v>186</v>
      </c>
      <c r="B132" s="184"/>
      <c r="C132" s="180">
        <v>-1245</v>
      </c>
      <c r="D132" s="180">
        <v>0</v>
      </c>
      <c r="E132" s="180">
        <v>-1907</v>
      </c>
      <c r="F132" s="180">
        <v>-5403</v>
      </c>
      <c r="G132" s="180">
        <v>0</v>
      </c>
      <c r="H132" s="180">
        <v>0</v>
      </c>
      <c r="I132" s="180">
        <v>-8555</v>
      </c>
      <c r="J132" s="180">
        <v>-5024</v>
      </c>
      <c r="K132" s="180">
        <v>-3531</v>
      </c>
      <c r="L132" s="179"/>
      <c r="M132" s="180"/>
      <c r="N132" s="180"/>
      <c r="O132" s="180">
        <v>-2312</v>
      </c>
      <c r="P132" s="180"/>
      <c r="Q132" s="180">
        <v>-5403</v>
      </c>
      <c r="R132" s="179"/>
      <c r="S132" s="179"/>
      <c r="T132" s="179"/>
      <c r="AA132" s="120" t="s">
        <v>186</v>
      </c>
      <c r="AB132" s="138"/>
      <c r="AC132" s="128">
        <f t="shared" si="3"/>
        <v>-1245</v>
      </c>
      <c r="AD132" s="128">
        <f t="shared" si="3"/>
        <v>0</v>
      </c>
      <c r="AE132" s="128">
        <f t="shared" si="3"/>
        <v>-1907</v>
      </c>
      <c r="AF132" s="128">
        <f t="shared" si="3"/>
        <v>-5403</v>
      </c>
      <c r="AG132" s="128">
        <f t="shared" si="3"/>
        <v>0</v>
      </c>
      <c r="AH132" s="128">
        <f t="shared" si="3"/>
        <v>0</v>
      </c>
      <c r="AI132" s="128">
        <f t="shared" si="3"/>
        <v>-8555</v>
      </c>
      <c r="AJ132" s="128">
        <f t="shared" si="3"/>
        <v>-5024</v>
      </c>
      <c r="AK132" s="128">
        <f t="shared" si="3"/>
        <v>-3522.6666666666665</v>
      </c>
    </row>
    <row r="133" spans="1:37" ht="14.4">
      <c r="A133" s="179"/>
      <c r="B133" s="184"/>
      <c r="C133" s="180"/>
      <c r="D133" s="179"/>
      <c r="E133" s="180"/>
      <c r="F133" s="179"/>
      <c r="G133" s="180"/>
      <c r="H133" s="180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AB133" s="138"/>
      <c r="AC133" s="128">
        <f t="shared" si="3"/>
        <v>0</v>
      </c>
      <c r="AD133" s="128">
        <f t="shared" si="3"/>
        <v>0</v>
      </c>
      <c r="AE133" s="128">
        <f t="shared" si="3"/>
        <v>0</v>
      </c>
      <c r="AF133" s="128">
        <f t="shared" si="3"/>
        <v>0</v>
      </c>
      <c r="AG133" s="128">
        <f t="shared" si="3"/>
        <v>0</v>
      </c>
      <c r="AH133" s="128">
        <f t="shared" si="3"/>
        <v>0</v>
      </c>
      <c r="AI133" s="128">
        <f t="shared" si="3"/>
        <v>0</v>
      </c>
      <c r="AJ133" s="128">
        <f t="shared" si="3"/>
        <v>0</v>
      </c>
      <c r="AK133" s="128">
        <f t="shared" si="3"/>
        <v>0</v>
      </c>
    </row>
    <row r="134" spans="1:37" ht="14.4">
      <c r="A134" s="179" t="s">
        <v>187</v>
      </c>
      <c r="B134" s="184"/>
      <c r="C134" s="219">
        <v>175</v>
      </c>
      <c r="D134" s="179"/>
      <c r="E134" s="180">
        <v>0</v>
      </c>
      <c r="F134" s="179"/>
      <c r="G134" s="180"/>
      <c r="H134" s="180"/>
      <c r="I134" s="189">
        <v>175</v>
      </c>
      <c r="J134" s="179"/>
      <c r="K134" s="189">
        <v>175</v>
      </c>
      <c r="L134" s="179"/>
      <c r="M134" s="189"/>
      <c r="N134" s="189"/>
      <c r="O134" s="189"/>
      <c r="P134" s="189"/>
      <c r="Q134" s="189">
        <v>0</v>
      </c>
      <c r="R134" s="179"/>
      <c r="S134" s="179"/>
      <c r="T134" s="189"/>
      <c r="AA134" s="120" t="s">
        <v>187</v>
      </c>
      <c r="AB134" s="138"/>
      <c r="AC134" s="141">
        <f t="shared" si="3"/>
        <v>175</v>
      </c>
      <c r="AD134" s="128">
        <f t="shared" si="3"/>
        <v>0</v>
      </c>
      <c r="AE134" s="128">
        <f t="shared" si="3"/>
        <v>0</v>
      </c>
      <c r="AF134" s="128">
        <f t="shared" si="3"/>
        <v>0</v>
      </c>
      <c r="AG134" s="128">
        <f t="shared" si="3"/>
        <v>0</v>
      </c>
      <c r="AH134" s="128">
        <f t="shared" si="3"/>
        <v>0</v>
      </c>
      <c r="AI134" s="128">
        <f t="shared" si="3"/>
        <v>175</v>
      </c>
      <c r="AJ134" s="128">
        <f t="shared" si="3"/>
        <v>0</v>
      </c>
      <c r="AK134" s="128">
        <f t="shared" si="3"/>
        <v>1842.3769621482606</v>
      </c>
    </row>
    <row r="135" spans="1:37" ht="14.4">
      <c r="A135" s="179"/>
      <c r="B135" s="184"/>
      <c r="C135" s="181"/>
      <c r="D135" s="191"/>
      <c r="E135" s="181"/>
      <c r="F135" s="191"/>
      <c r="G135" s="181"/>
      <c r="H135" s="181"/>
      <c r="I135" s="191"/>
      <c r="J135" s="191"/>
      <c r="K135" s="191"/>
      <c r="L135" s="179"/>
      <c r="M135" s="199"/>
      <c r="N135" s="199"/>
      <c r="O135" s="191"/>
      <c r="P135" s="199"/>
      <c r="Q135" s="191"/>
      <c r="R135" s="179"/>
      <c r="S135" s="179"/>
      <c r="T135" s="179"/>
      <c r="AB135" s="138"/>
      <c r="AC135" s="133">
        <f t="shared" si="3"/>
        <v>0</v>
      </c>
      <c r="AD135" s="133">
        <f t="shared" si="3"/>
        <v>0</v>
      </c>
      <c r="AE135" s="133">
        <f t="shared" si="3"/>
        <v>0</v>
      </c>
      <c r="AF135" s="133">
        <f t="shared" si="3"/>
        <v>0</v>
      </c>
      <c r="AG135" s="133">
        <f t="shared" si="3"/>
        <v>0</v>
      </c>
      <c r="AH135" s="133">
        <f t="shared" si="3"/>
        <v>0</v>
      </c>
      <c r="AI135" s="133">
        <f t="shared" si="3"/>
        <v>0</v>
      </c>
      <c r="AJ135" s="133">
        <f t="shared" si="3"/>
        <v>0</v>
      </c>
      <c r="AK135" s="133">
        <f t="shared" si="3"/>
        <v>-140.84719683872652</v>
      </c>
    </row>
    <row r="136" spans="1:37" ht="14.4">
      <c r="A136" s="179" t="s">
        <v>188</v>
      </c>
      <c r="B136" s="184"/>
      <c r="C136" s="180">
        <v>-1070</v>
      </c>
      <c r="D136" s="180">
        <v>0</v>
      </c>
      <c r="E136" s="180">
        <v>-1907</v>
      </c>
      <c r="F136" s="180">
        <v>-5403</v>
      </c>
      <c r="G136" s="180">
        <v>0</v>
      </c>
      <c r="H136" s="180">
        <v>0</v>
      </c>
      <c r="I136" s="180">
        <v>-8380</v>
      </c>
      <c r="J136" s="180">
        <v>-5024</v>
      </c>
      <c r="K136" s="180">
        <v>-3356</v>
      </c>
      <c r="L136" s="179"/>
      <c r="M136" s="180"/>
      <c r="N136" s="180"/>
      <c r="O136" s="180">
        <v>-2312</v>
      </c>
      <c r="P136" s="180"/>
      <c r="Q136" s="180">
        <v>-5403</v>
      </c>
      <c r="R136" s="179"/>
      <c r="S136" s="179"/>
      <c r="T136" s="179"/>
      <c r="AA136" s="120" t="s">
        <v>188</v>
      </c>
      <c r="AB136" s="138"/>
      <c r="AC136" s="128">
        <f t="shared" si="3"/>
        <v>-1070</v>
      </c>
      <c r="AD136" s="128">
        <f t="shared" si="3"/>
        <v>0</v>
      </c>
      <c r="AE136" s="128">
        <f t="shared" si="3"/>
        <v>-1907</v>
      </c>
      <c r="AF136" s="128">
        <f t="shared" si="3"/>
        <v>-5403</v>
      </c>
      <c r="AG136" s="128">
        <f t="shared" si="3"/>
        <v>0</v>
      </c>
      <c r="AH136" s="128">
        <f t="shared" si="3"/>
        <v>0</v>
      </c>
      <c r="AI136" s="128">
        <f t="shared" si="3"/>
        <v>-8380</v>
      </c>
      <c r="AJ136" s="128">
        <f t="shared" si="3"/>
        <v>-5024</v>
      </c>
      <c r="AK136" s="128">
        <f t="shared" si="3"/>
        <v>-2689.2710906615084</v>
      </c>
    </row>
    <row r="137" spans="1:37" ht="14.4">
      <c r="A137" s="179"/>
      <c r="B137" s="184"/>
      <c r="C137" s="180"/>
      <c r="D137" s="179"/>
      <c r="E137" s="180"/>
      <c r="F137" s="179"/>
      <c r="G137" s="180"/>
      <c r="H137" s="180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AB137" s="138"/>
      <c r="AC137" s="128">
        <f t="shared" si="3"/>
        <v>0</v>
      </c>
      <c r="AD137" s="128">
        <f t="shared" si="3"/>
        <v>0</v>
      </c>
      <c r="AE137" s="128">
        <f t="shared" si="3"/>
        <v>0</v>
      </c>
      <c r="AF137" s="128">
        <f t="shared" si="3"/>
        <v>0</v>
      </c>
      <c r="AG137" s="128">
        <f t="shared" si="3"/>
        <v>0</v>
      </c>
      <c r="AH137" s="128">
        <f t="shared" si="3"/>
        <v>0</v>
      </c>
      <c r="AI137" s="128">
        <f t="shared" si="3"/>
        <v>0</v>
      </c>
      <c r="AJ137" s="128">
        <f t="shared" si="3"/>
        <v>0</v>
      </c>
      <c r="AK137" s="128">
        <f t="shared" si="3"/>
        <v>1141.4952496484957</v>
      </c>
    </row>
    <row r="138" spans="1:37" ht="14.4">
      <c r="A138" s="179" t="s">
        <v>189</v>
      </c>
      <c r="B138" s="184"/>
      <c r="C138" s="219">
        <v>442</v>
      </c>
      <c r="D138" s="179"/>
      <c r="E138" s="180"/>
      <c r="F138" s="179"/>
      <c r="G138" s="180"/>
      <c r="H138" s="180"/>
      <c r="I138" s="189">
        <v>442</v>
      </c>
      <c r="J138" s="179"/>
      <c r="K138" s="189">
        <v>442</v>
      </c>
      <c r="L138" s="179"/>
      <c r="M138" s="189"/>
      <c r="N138" s="189"/>
      <c r="O138" s="189">
        <v>0</v>
      </c>
      <c r="P138" s="189"/>
      <c r="Q138" s="189">
        <v>0</v>
      </c>
      <c r="R138" s="179"/>
      <c r="S138" s="179"/>
      <c r="T138" s="219">
        <v>502</v>
      </c>
      <c r="AA138" s="120" t="s">
        <v>189</v>
      </c>
      <c r="AB138" s="138"/>
      <c r="AC138" s="141">
        <f t="shared" si="3"/>
        <v>442</v>
      </c>
      <c r="AD138" s="128">
        <f t="shared" si="3"/>
        <v>0</v>
      </c>
      <c r="AE138" s="128">
        <f t="shared" si="3"/>
        <v>0</v>
      </c>
      <c r="AF138" s="128">
        <f t="shared" si="3"/>
        <v>0</v>
      </c>
      <c r="AG138" s="128">
        <f t="shared" si="3"/>
        <v>0</v>
      </c>
      <c r="AH138" s="128">
        <f t="shared" si="3"/>
        <v>0</v>
      </c>
      <c r="AI138" s="128">
        <f t="shared" si="3"/>
        <v>442</v>
      </c>
      <c r="AJ138" s="128">
        <f t="shared" si="3"/>
        <v>0</v>
      </c>
      <c r="AK138" s="128">
        <f t="shared" si="3"/>
        <v>1238.9731712558578</v>
      </c>
    </row>
    <row r="139" spans="1:37" ht="14.4">
      <c r="A139" s="179" t="s">
        <v>190</v>
      </c>
      <c r="B139" s="184"/>
      <c r="C139" s="219">
        <v>1607</v>
      </c>
      <c r="D139" s="179"/>
      <c r="E139" s="180"/>
      <c r="F139" s="179"/>
      <c r="G139" s="180"/>
      <c r="H139" s="180"/>
      <c r="I139" s="189">
        <v>1607</v>
      </c>
      <c r="J139" s="179"/>
      <c r="K139" s="189">
        <v>1607</v>
      </c>
      <c r="L139" s="179"/>
      <c r="M139" s="189"/>
      <c r="N139" s="189"/>
      <c r="O139" s="189">
        <v>0</v>
      </c>
      <c r="P139" s="189"/>
      <c r="Q139" s="189">
        <v>0</v>
      </c>
      <c r="R139" s="179"/>
      <c r="S139" s="179"/>
      <c r="T139" s="219">
        <v>1769</v>
      </c>
      <c r="AA139" s="120" t="s">
        <v>190</v>
      </c>
      <c r="AB139" s="138"/>
      <c r="AC139" s="141">
        <f t="shared" si="3"/>
        <v>1607</v>
      </c>
      <c r="AD139" s="128">
        <f t="shared" si="3"/>
        <v>0</v>
      </c>
      <c r="AE139" s="128">
        <f t="shared" si="3"/>
        <v>0</v>
      </c>
      <c r="AF139" s="128">
        <f t="shared" si="3"/>
        <v>0</v>
      </c>
      <c r="AG139" s="128">
        <f t="shared" si="3"/>
        <v>0</v>
      </c>
      <c r="AH139" s="128">
        <f t="shared" si="3"/>
        <v>0</v>
      </c>
      <c r="AI139" s="128">
        <f t="shared" si="3"/>
        <v>1607</v>
      </c>
      <c r="AJ139" s="128">
        <f t="shared" si="3"/>
        <v>0</v>
      </c>
      <c r="AK139" s="128">
        <f t="shared" si="3"/>
        <v>3955.0360527856596</v>
      </c>
    </row>
    <row r="140" spans="1:37" ht="14.4">
      <c r="A140" s="186" t="s">
        <v>191</v>
      </c>
      <c r="B140" s="184"/>
      <c r="C140" s="197">
        <v>-615</v>
      </c>
      <c r="D140" s="179"/>
      <c r="E140" s="180"/>
      <c r="F140" s="179"/>
      <c r="G140" s="180"/>
      <c r="H140" s="180"/>
      <c r="I140" s="189">
        <v>-615</v>
      </c>
      <c r="J140" s="189">
        <v>0</v>
      </c>
      <c r="K140" s="189">
        <v>-615</v>
      </c>
      <c r="L140" s="179"/>
      <c r="M140" s="189"/>
      <c r="N140" s="189"/>
      <c r="O140" s="189">
        <v>0</v>
      </c>
      <c r="P140" s="189"/>
      <c r="Q140" s="189">
        <v>0</v>
      </c>
      <c r="R140" s="179"/>
      <c r="S140" s="179"/>
      <c r="T140" s="179"/>
      <c r="AA140" s="131" t="s">
        <v>191</v>
      </c>
      <c r="AB140" s="138"/>
      <c r="AC140" s="134">
        <f t="shared" ref="AC140:AK145" si="4">C140-C193</f>
        <v>-615</v>
      </c>
      <c r="AD140" s="128">
        <f t="shared" si="4"/>
        <v>0</v>
      </c>
      <c r="AE140" s="128">
        <f t="shared" si="4"/>
        <v>0</v>
      </c>
      <c r="AF140" s="128">
        <f t="shared" si="4"/>
        <v>0</v>
      </c>
      <c r="AG140" s="128">
        <f t="shared" si="4"/>
        <v>0</v>
      </c>
      <c r="AH140" s="128">
        <f t="shared" si="4"/>
        <v>0</v>
      </c>
      <c r="AI140" s="128">
        <f t="shared" si="4"/>
        <v>-615</v>
      </c>
      <c r="AJ140" s="128">
        <f t="shared" si="4"/>
        <v>0</v>
      </c>
      <c r="AK140" s="128">
        <f t="shared" si="4"/>
        <v>-1307.3999532733528</v>
      </c>
    </row>
    <row r="141" spans="1:37" ht="14.4">
      <c r="A141" s="179" t="s">
        <v>192</v>
      </c>
      <c r="B141" s="184"/>
      <c r="C141" s="219">
        <v>640</v>
      </c>
      <c r="D141" s="179"/>
      <c r="E141" s="180">
        <v>-12</v>
      </c>
      <c r="F141" s="179"/>
      <c r="G141" s="180"/>
      <c r="H141" s="180"/>
      <c r="I141" s="189">
        <v>628</v>
      </c>
      <c r="J141" s="179"/>
      <c r="K141" s="189">
        <v>628</v>
      </c>
      <c r="L141" s="179"/>
      <c r="M141" s="189"/>
      <c r="N141" s="189"/>
      <c r="O141" s="189">
        <v>-12</v>
      </c>
      <c r="P141" s="189"/>
      <c r="Q141" s="189">
        <v>0</v>
      </c>
      <c r="R141" s="179"/>
      <c r="S141" s="179"/>
      <c r="T141" s="179"/>
      <c r="AA141" s="120" t="s">
        <v>192</v>
      </c>
      <c r="AB141" s="138"/>
      <c r="AC141" s="141">
        <f t="shared" si="4"/>
        <v>640</v>
      </c>
      <c r="AD141" s="128">
        <f t="shared" si="4"/>
        <v>0</v>
      </c>
      <c r="AE141" s="128">
        <f t="shared" si="4"/>
        <v>-12</v>
      </c>
      <c r="AF141" s="128">
        <f t="shared" si="4"/>
        <v>0</v>
      </c>
      <c r="AG141" s="128">
        <f t="shared" si="4"/>
        <v>0</v>
      </c>
      <c r="AH141" s="128">
        <f t="shared" si="4"/>
        <v>0</v>
      </c>
      <c r="AI141" s="128">
        <f t="shared" si="4"/>
        <v>628</v>
      </c>
      <c r="AJ141" s="128">
        <f t="shared" si="4"/>
        <v>0</v>
      </c>
      <c r="AK141" s="128">
        <f t="shared" si="4"/>
        <v>-447.39833966820834</v>
      </c>
    </row>
    <row r="142" spans="1:37" ht="14.4">
      <c r="A142" s="179" t="s">
        <v>193</v>
      </c>
      <c r="B142" s="184"/>
      <c r="C142" s="180"/>
      <c r="D142" s="179"/>
      <c r="E142" s="180"/>
      <c r="F142" s="179"/>
      <c r="G142" s="180"/>
      <c r="H142" s="180"/>
      <c r="I142" s="189">
        <v>0</v>
      </c>
      <c r="J142" s="180">
        <v>-15</v>
      </c>
      <c r="K142" s="189">
        <v>-15</v>
      </c>
      <c r="L142" s="179"/>
      <c r="M142" s="189"/>
      <c r="N142" s="189"/>
      <c r="O142" s="189">
        <v>0</v>
      </c>
      <c r="P142" s="189"/>
      <c r="Q142" s="189">
        <v>0</v>
      </c>
      <c r="R142" s="179"/>
      <c r="S142" s="179"/>
      <c r="T142" s="179"/>
      <c r="AA142" s="120" t="s">
        <v>193</v>
      </c>
      <c r="AB142" s="138"/>
      <c r="AC142" s="128">
        <f t="shared" si="4"/>
        <v>0</v>
      </c>
      <c r="AD142" s="128">
        <f t="shared" si="4"/>
        <v>0</v>
      </c>
      <c r="AE142" s="128">
        <f t="shared" si="4"/>
        <v>0</v>
      </c>
      <c r="AF142" s="128">
        <f t="shared" si="4"/>
        <v>0</v>
      </c>
      <c r="AG142" s="128">
        <f t="shared" si="4"/>
        <v>0</v>
      </c>
      <c r="AH142" s="128">
        <f t="shared" si="4"/>
        <v>0</v>
      </c>
      <c r="AI142" s="128">
        <f t="shared" si="4"/>
        <v>0</v>
      </c>
      <c r="AJ142" s="128">
        <f t="shared" si="4"/>
        <v>-15</v>
      </c>
      <c r="AK142" s="128">
        <f t="shared" si="4"/>
        <v>-15.063567849046093</v>
      </c>
    </row>
    <row r="143" spans="1:37" ht="14.4">
      <c r="A143" s="179"/>
      <c r="B143" s="184"/>
      <c r="C143" s="180"/>
      <c r="D143" s="179"/>
      <c r="E143" s="180"/>
      <c r="F143" s="179"/>
      <c r="G143" s="180"/>
      <c r="H143" s="180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AB143" s="138"/>
      <c r="AC143" s="128">
        <f t="shared" si="4"/>
        <v>0</v>
      </c>
      <c r="AD143" s="128">
        <f t="shared" si="4"/>
        <v>0</v>
      </c>
      <c r="AE143" s="128">
        <f t="shared" si="4"/>
        <v>0</v>
      </c>
      <c r="AF143" s="128">
        <f t="shared" si="4"/>
        <v>0</v>
      </c>
      <c r="AG143" s="128">
        <f t="shared" si="4"/>
        <v>0</v>
      </c>
      <c r="AH143" s="128">
        <f t="shared" si="4"/>
        <v>0</v>
      </c>
      <c r="AI143" s="128">
        <f t="shared" si="4"/>
        <v>0</v>
      </c>
      <c r="AJ143" s="128">
        <f t="shared" si="4"/>
        <v>0</v>
      </c>
      <c r="AK143" s="128">
        <f t="shared" si="4"/>
        <v>0</v>
      </c>
    </row>
    <row r="144" spans="1:37" ht="15" thickBot="1">
      <c r="A144" s="179" t="s">
        <v>194</v>
      </c>
      <c r="B144" s="184"/>
      <c r="C144" s="210">
        <v>-3144</v>
      </c>
      <c r="D144" s="210">
        <v>0</v>
      </c>
      <c r="E144" s="210">
        <v>-1895</v>
      </c>
      <c r="F144" s="182">
        <v>-5403</v>
      </c>
      <c r="G144" s="182">
        <v>0</v>
      </c>
      <c r="H144" s="182">
        <v>0</v>
      </c>
      <c r="I144" s="182">
        <v>-10442</v>
      </c>
      <c r="J144" s="182">
        <v>-5009</v>
      </c>
      <c r="K144" s="182">
        <v>-5403</v>
      </c>
      <c r="L144" s="179"/>
      <c r="M144" s="183"/>
      <c r="N144" s="183"/>
      <c r="O144" s="182">
        <v>-2300</v>
      </c>
      <c r="P144" s="183"/>
      <c r="Q144" s="182">
        <v>-5403</v>
      </c>
      <c r="R144" s="179"/>
      <c r="S144" s="179"/>
      <c r="T144" s="179"/>
      <c r="AA144" s="120" t="s">
        <v>194</v>
      </c>
      <c r="AB144" s="138"/>
      <c r="AC144" s="144">
        <f t="shared" si="4"/>
        <v>-3144</v>
      </c>
      <c r="AD144" s="144">
        <f t="shared" si="4"/>
        <v>0</v>
      </c>
      <c r="AE144" s="144">
        <f t="shared" si="4"/>
        <v>-1895</v>
      </c>
      <c r="AF144" s="135">
        <f t="shared" si="4"/>
        <v>-5403</v>
      </c>
      <c r="AG144" s="135">
        <f t="shared" si="4"/>
        <v>0</v>
      </c>
      <c r="AH144" s="135">
        <f t="shared" si="4"/>
        <v>0</v>
      </c>
      <c r="AI144" s="135">
        <f t="shared" si="4"/>
        <v>-10442</v>
      </c>
      <c r="AJ144" s="135">
        <f t="shared" si="4"/>
        <v>-5009</v>
      </c>
      <c r="AK144" s="135">
        <f t="shared" si="4"/>
        <v>-5403</v>
      </c>
    </row>
    <row r="145" spans="1:37" ht="15" thickTop="1">
      <c r="A145" s="179"/>
      <c r="B145" s="185"/>
      <c r="C145" s="189"/>
      <c r="D145" s="179"/>
      <c r="E145" s="180"/>
      <c r="F145" s="179"/>
      <c r="G145" s="179"/>
      <c r="H145" s="179"/>
      <c r="I145" s="179"/>
      <c r="J145" s="179"/>
      <c r="K145" s="189">
        <v>0</v>
      </c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AB145" s="145"/>
      <c r="AC145" s="128">
        <f t="shared" si="4"/>
        <v>0</v>
      </c>
      <c r="AD145" s="128">
        <f t="shared" si="4"/>
        <v>0</v>
      </c>
      <c r="AE145" s="128">
        <f t="shared" si="4"/>
        <v>0</v>
      </c>
      <c r="AF145" s="128">
        <f t="shared" si="4"/>
        <v>0</v>
      </c>
      <c r="AG145" s="128">
        <f t="shared" si="4"/>
        <v>0</v>
      </c>
      <c r="AH145" s="128">
        <f t="shared" si="4"/>
        <v>0</v>
      </c>
      <c r="AI145" s="128">
        <f t="shared" si="4"/>
        <v>0</v>
      </c>
      <c r="AJ145" s="128">
        <f t="shared" si="4"/>
        <v>0</v>
      </c>
      <c r="AK145" s="128">
        <f t="shared" si="4"/>
        <v>-927.06666666666672</v>
      </c>
    </row>
    <row r="146" spans="1:37">
      <c r="A146" s="179"/>
      <c r="B146" s="179"/>
      <c r="C146" s="179"/>
      <c r="D146" s="179"/>
      <c r="E146" s="189"/>
      <c r="F146" s="179"/>
      <c r="G146" s="189"/>
      <c r="H146" s="180"/>
      <c r="I146" s="179"/>
      <c r="J146" s="189"/>
      <c r="K146" s="189"/>
      <c r="L146" s="189"/>
      <c r="M146" s="189"/>
      <c r="N146" s="179"/>
      <c r="O146" s="179"/>
      <c r="P146" s="179"/>
      <c r="Q146" s="179"/>
      <c r="R146" s="179"/>
      <c r="S146" s="179"/>
      <c r="T146" s="179"/>
      <c r="U146" s="189"/>
      <c r="V146" s="179"/>
    </row>
    <row r="147" spans="1:37">
      <c r="A147" s="179"/>
      <c r="B147" s="179"/>
      <c r="C147" s="189"/>
      <c r="D147" s="179"/>
      <c r="E147" s="189"/>
      <c r="F147" s="189"/>
      <c r="G147" s="179"/>
      <c r="H147" s="180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</row>
    <row r="148" spans="1:37">
      <c r="A148" s="179"/>
      <c r="B148" s="179"/>
      <c r="C148" s="189"/>
      <c r="D148" s="179"/>
      <c r="E148" s="179"/>
      <c r="F148" s="189"/>
      <c r="G148" s="189"/>
      <c r="H148" s="180"/>
      <c r="I148" s="179"/>
      <c r="J148" s="179"/>
      <c r="K148" s="189"/>
      <c r="L148" s="179"/>
      <c r="M148" s="179"/>
      <c r="N148" s="179"/>
      <c r="O148" s="179"/>
      <c r="P148" s="179"/>
      <c r="Q148" s="189"/>
      <c r="R148" s="179"/>
      <c r="S148" s="179"/>
      <c r="T148" s="186" t="s">
        <v>197</v>
      </c>
      <c r="U148" s="179"/>
      <c r="V148" s="179"/>
    </row>
    <row r="149" spans="1:37">
      <c r="A149" s="186"/>
      <c r="B149" s="179"/>
      <c r="C149" s="179"/>
      <c r="D149" s="179"/>
      <c r="E149" s="179"/>
      <c r="F149" s="179"/>
      <c r="G149" s="179"/>
      <c r="H149" s="180"/>
      <c r="I149" s="179"/>
      <c r="J149" s="179"/>
      <c r="K149" s="189"/>
      <c r="L149" s="179"/>
      <c r="M149" s="179"/>
      <c r="N149" s="179"/>
      <c r="O149" s="179"/>
      <c r="P149" s="179"/>
      <c r="Q149" s="189"/>
      <c r="R149" s="179"/>
      <c r="S149" s="179"/>
      <c r="T149" s="186" t="s">
        <v>199</v>
      </c>
      <c r="U149" s="186" t="s">
        <v>73</v>
      </c>
      <c r="V149" s="186" t="s">
        <v>85</v>
      </c>
    </row>
    <row r="150" spans="1:37">
      <c r="A150" s="186"/>
      <c r="B150" s="179"/>
      <c r="C150" s="179"/>
      <c r="D150" s="179"/>
      <c r="E150" s="179"/>
      <c r="F150" s="179"/>
      <c r="G150" s="179"/>
      <c r="H150" s="180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86" t="s">
        <v>201</v>
      </c>
      <c r="U150" s="180">
        <v>-1710</v>
      </c>
      <c r="V150" s="180">
        <v>-3984</v>
      </c>
    </row>
    <row r="151" spans="1:37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86" t="s">
        <v>203</v>
      </c>
      <c r="U151" s="180">
        <v>6347</v>
      </c>
      <c r="V151" s="180">
        <v>6370</v>
      </c>
    </row>
    <row r="152" spans="1:37" ht="13.8" thickBot="1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86" t="s">
        <v>204</v>
      </c>
      <c r="U152" s="180">
        <v>8866</v>
      </c>
      <c r="V152" s="180">
        <v>8870</v>
      </c>
    </row>
    <row r="153" spans="1:37" ht="14.4">
      <c r="A153" s="224" t="s">
        <v>195</v>
      </c>
      <c r="B153" s="224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86" t="s">
        <v>206</v>
      </c>
      <c r="U153" s="180">
        <v>7107</v>
      </c>
      <c r="V153" s="180">
        <v>7644</v>
      </c>
    </row>
    <row r="154" spans="1:37" ht="14.4">
      <c r="A154" s="225" t="s">
        <v>196</v>
      </c>
      <c r="B154" s="226"/>
      <c r="C154" s="179"/>
      <c r="D154" s="179"/>
      <c r="E154" s="179"/>
      <c r="F154" s="179"/>
      <c r="G154" s="179"/>
      <c r="H154" s="179"/>
      <c r="I154" s="179"/>
      <c r="J154" s="179"/>
      <c r="K154" s="226">
        <v>19692.932444597227</v>
      </c>
      <c r="L154" s="179"/>
      <c r="M154" s="179"/>
      <c r="N154" s="179"/>
      <c r="O154" s="179"/>
      <c r="P154" s="179"/>
      <c r="Q154" s="179"/>
      <c r="R154" s="179"/>
      <c r="S154" s="179"/>
      <c r="T154" s="186" t="s">
        <v>208</v>
      </c>
      <c r="U154" s="180">
        <v>7916</v>
      </c>
      <c r="V154" s="180">
        <v>6160</v>
      </c>
    </row>
    <row r="155" spans="1:37" ht="14.4">
      <c r="A155" s="227" t="s">
        <v>198</v>
      </c>
      <c r="B155" s="228"/>
      <c r="C155" s="179"/>
      <c r="D155" s="179"/>
      <c r="E155" s="179"/>
      <c r="F155" s="179"/>
      <c r="G155" s="179"/>
      <c r="H155" s="179"/>
      <c r="I155" s="179"/>
      <c r="J155" s="179"/>
      <c r="K155" s="228">
        <v>18241.092787291091</v>
      </c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</row>
    <row r="156" spans="1:37" ht="14.4">
      <c r="A156" s="227" t="s">
        <v>200</v>
      </c>
      <c r="B156" s="229"/>
      <c r="C156" s="179"/>
      <c r="D156" s="179"/>
      <c r="E156" s="179"/>
      <c r="F156" s="179"/>
      <c r="G156" s="179"/>
      <c r="H156" s="179"/>
      <c r="I156" s="179"/>
      <c r="J156" s="179"/>
      <c r="K156" s="229">
        <v>1291</v>
      </c>
      <c r="L156" s="179"/>
      <c r="M156" s="179"/>
      <c r="N156" s="179"/>
      <c r="O156" s="179"/>
      <c r="P156" s="179"/>
      <c r="Q156" s="179"/>
      <c r="R156" s="179"/>
      <c r="S156" s="179"/>
      <c r="T156" s="186" t="s">
        <v>211</v>
      </c>
      <c r="U156" s="189">
        <v>176126</v>
      </c>
      <c r="V156" s="189">
        <v>171271</v>
      </c>
    </row>
    <row r="157" spans="1:37" ht="14.4">
      <c r="A157" s="227" t="s">
        <v>202</v>
      </c>
      <c r="B157" s="229"/>
      <c r="C157" s="179"/>
      <c r="D157" s="179"/>
      <c r="E157" s="179"/>
      <c r="F157" s="179"/>
      <c r="G157" s="179"/>
      <c r="H157" s="179"/>
      <c r="I157" s="179"/>
      <c r="J157" s="179"/>
      <c r="K157" s="229">
        <v>687.81372388884904</v>
      </c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</row>
    <row r="158" spans="1:37" ht="14.4">
      <c r="A158" s="227" t="s">
        <v>17</v>
      </c>
      <c r="B158" s="228"/>
      <c r="C158" s="179"/>
      <c r="D158" s="179"/>
      <c r="E158" s="179"/>
      <c r="F158" s="179"/>
      <c r="G158" s="179"/>
      <c r="H158" s="179"/>
      <c r="I158" s="179"/>
      <c r="J158" s="179"/>
      <c r="K158" s="228">
        <v>0</v>
      </c>
      <c r="L158" s="179"/>
      <c r="M158" s="179"/>
      <c r="N158" s="179"/>
      <c r="O158" s="179"/>
      <c r="P158" s="179"/>
      <c r="Q158" s="179"/>
      <c r="R158" s="179"/>
      <c r="S158" s="179"/>
      <c r="T158" s="186" t="s">
        <v>214</v>
      </c>
      <c r="U158" s="260">
        <v>22.249368367862555</v>
      </c>
      <c r="V158" s="260">
        <v>27.803733766233766</v>
      </c>
    </row>
    <row r="159" spans="1:37" ht="14.4">
      <c r="A159" s="230" t="s">
        <v>205</v>
      </c>
      <c r="B159" s="231"/>
      <c r="C159" s="179"/>
      <c r="D159" s="179"/>
      <c r="E159" s="179"/>
      <c r="F159" s="179"/>
      <c r="G159" s="179"/>
      <c r="H159" s="179"/>
      <c r="I159" s="179"/>
      <c r="J159" s="179"/>
      <c r="K159" s="231">
        <v>526.97406658271257</v>
      </c>
      <c r="L159" s="179"/>
      <c r="M159" s="179"/>
      <c r="N159" s="179"/>
      <c r="O159" s="179"/>
      <c r="P159" s="179"/>
      <c r="Q159" s="179"/>
      <c r="R159" s="179"/>
      <c r="S159" s="179"/>
      <c r="T159" s="186" t="s">
        <v>214</v>
      </c>
      <c r="U159" s="260">
        <v>3.5</v>
      </c>
      <c r="V159" s="260">
        <v>3.5</v>
      </c>
    </row>
    <row r="160" spans="1:37" ht="14.4">
      <c r="A160" s="232" t="s">
        <v>207</v>
      </c>
      <c r="B160" s="231"/>
      <c r="C160" s="179"/>
      <c r="D160" s="179"/>
      <c r="E160" s="179"/>
      <c r="F160" s="179"/>
      <c r="G160" s="179"/>
      <c r="H160" s="179"/>
      <c r="I160" s="179"/>
      <c r="J160" s="179"/>
      <c r="K160" s="231">
        <v>0</v>
      </c>
      <c r="L160" s="179"/>
      <c r="M160" s="179"/>
      <c r="N160" s="179"/>
      <c r="O160" s="179"/>
      <c r="P160" s="179"/>
      <c r="Q160" s="179"/>
      <c r="R160" s="179"/>
      <c r="S160" s="179"/>
      <c r="T160" s="186" t="s">
        <v>217</v>
      </c>
      <c r="U160" s="260">
        <v>-18.749368367862555</v>
      </c>
      <c r="V160" s="260">
        <v>-24.303733766233766</v>
      </c>
    </row>
    <row r="161" spans="1:22" ht="14.4">
      <c r="A161" s="232" t="s">
        <v>209</v>
      </c>
      <c r="B161" s="231"/>
      <c r="C161" s="179"/>
      <c r="D161" s="179"/>
      <c r="E161" s="179"/>
      <c r="F161" s="179"/>
      <c r="G161" s="179"/>
      <c r="H161" s="179"/>
      <c r="I161" s="179"/>
      <c r="J161" s="179"/>
      <c r="K161" s="231">
        <v>0</v>
      </c>
      <c r="L161" s="179"/>
      <c r="M161" s="179"/>
      <c r="N161" s="179"/>
      <c r="O161" s="179"/>
      <c r="P161" s="179"/>
      <c r="Q161" s="179"/>
      <c r="R161" s="179"/>
      <c r="S161" s="179"/>
      <c r="T161" s="186" t="s">
        <v>219</v>
      </c>
      <c r="U161" s="189">
        <v>42405.714285714283</v>
      </c>
      <c r="V161" s="189">
        <v>42774.571428571428</v>
      </c>
    </row>
    <row r="162" spans="1:22" ht="14.4">
      <c r="A162" s="233" t="s">
        <v>210</v>
      </c>
      <c r="B162" s="231"/>
      <c r="C162" s="179"/>
      <c r="D162" s="179"/>
      <c r="E162" s="179"/>
      <c r="F162" s="179"/>
      <c r="G162" s="179"/>
      <c r="H162" s="179"/>
      <c r="I162" s="179"/>
      <c r="J162" s="179"/>
      <c r="K162" s="231">
        <v>2775.6015012699886</v>
      </c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</row>
    <row r="163" spans="1:22" ht="14.4">
      <c r="A163" s="234" t="s">
        <v>212</v>
      </c>
      <c r="B163" s="228"/>
      <c r="C163" s="179"/>
      <c r="D163" s="179"/>
      <c r="E163" s="179"/>
      <c r="F163" s="179"/>
      <c r="G163" s="179"/>
      <c r="H163" s="179"/>
      <c r="I163" s="179"/>
      <c r="J163" s="179"/>
      <c r="K163" s="228">
        <v>2665.8305620537099</v>
      </c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</row>
    <row r="164" spans="1:22" ht="14.4">
      <c r="A164" s="234" t="s">
        <v>213</v>
      </c>
      <c r="B164" s="228"/>
      <c r="C164" s="179"/>
      <c r="D164" s="179"/>
      <c r="E164" s="179"/>
      <c r="F164" s="179"/>
      <c r="G164" s="179"/>
      <c r="H164" s="179"/>
      <c r="I164" s="179"/>
      <c r="J164" s="179"/>
      <c r="K164" s="228">
        <v>185.44597201318413</v>
      </c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</row>
    <row r="165" spans="1:22" ht="14.4">
      <c r="A165" s="230" t="s">
        <v>215</v>
      </c>
      <c r="B165" s="228"/>
      <c r="C165" s="179"/>
      <c r="D165" s="179"/>
      <c r="E165" s="179"/>
      <c r="F165" s="179"/>
      <c r="G165" s="179"/>
      <c r="H165" s="179"/>
      <c r="I165" s="179"/>
      <c r="J165" s="179"/>
      <c r="K165" s="228">
        <v>75.6750327969051</v>
      </c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</row>
    <row r="166" spans="1:22" ht="14.4">
      <c r="A166" s="230" t="s">
        <v>216</v>
      </c>
      <c r="B166" s="231"/>
      <c r="C166" s="179"/>
      <c r="D166" s="179"/>
      <c r="E166" s="179"/>
      <c r="F166" s="179"/>
      <c r="G166" s="179"/>
      <c r="H166" s="179"/>
      <c r="I166" s="179"/>
      <c r="J166" s="179"/>
      <c r="K166" s="231">
        <v>0</v>
      </c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</row>
    <row r="167" spans="1:22" ht="14.4">
      <c r="A167" s="235" t="s">
        <v>218</v>
      </c>
      <c r="B167" s="236"/>
      <c r="C167" s="179"/>
      <c r="D167" s="179"/>
      <c r="E167" s="179"/>
      <c r="F167" s="179"/>
      <c r="G167" s="179"/>
      <c r="H167" s="179"/>
      <c r="I167" s="179"/>
      <c r="J167" s="179"/>
      <c r="K167" s="236">
        <v>16917.330943327237</v>
      </c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</row>
    <row r="168" spans="1:22" ht="14.4">
      <c r="A168" s="237" t="s">
        <v>220</v>
      </c>
      <c r="B168" s="228"/>
      <c r="C168" s="179"/>
      <c r="D168" s="179"/>
      <c r="E168" s="179"/>
      <c r="F168" s="179"/>
      <c r="G168" s="179"/>
      <c r="H168" s="179"/>
      <c r="I168" s="179"/>
      <c r="J168" s="179"/>
      <c r="K168" s="228">
        <v>6660.0517582020475</v>
      </c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</row>
    <row r="169" spans="1:22" ht="14.4">
      <c r="A169" s="227" t="s">
        <v>221</v>
      </c>
      <c r="B169" s="231"/>
      <c r="C169" s="179"/>
      <c r="D169" s="179"/>
      <c r="E169" s="179"/>
      <c r="F169" s="179"/>
      <c r="G169" s="179"/>
      <c r="H169" s="179"/>
      <c r="I169" s="179"/>
      <c r="J169" s="179"/>
      <c r="K169" s="231">
        <v>5486.9068051513486</v>
      </c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</row>
    <row r="170" spans="1:22" ht="14.4">
      <c r="A170" s="227" t="s">
        <v>202</v>
      </c>
      <c r="B170" s="231"/>
      <c r="C170" s="179"/>
      <c r="D170" s="179"/>
      <c r="E170" s="179"/>
      <c r="F170" s="179"/>
      <c r="G170" s="179"/>
      <c r="H170" s="179"/>
      <c r="I170" s="179"/>
      <c r="J170" s="179"/>
      <c r="K170" s="231">
        <v>1173.1449530506991</v>
      </c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</row>
    <row r="171" spans="1:22" ht="14.4">
      <c r="A171" s="227" t="s">
        <v>222</v>
      </c>
      <c r="B171" s="231"/>
      <c r="C171" s="179"/>
      <c r="D171" s="179"/>
      <c r="E171" s="179"/>
      <c r="F171" s="179"/>
      <c r="G171" s="179"/>
      <c r="H171" s="179"/>
      <c r="I171" s="179"/>
      <c r="J171" s="179"/>
      <c r="K171" s="231">
        <v>0</v>
      </c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</row>
    <row r="172" spans="1:22" ht="14.4">
      <c r="A172" s="235" t="s">
        <v>2</v>
      </c>
      <c r="B172" s="236"/>
      <c r="C172" s="179"/>
      <c r="D172" s="179"/>
      <c r="E172" s="179"/>
      <c r="F172" s="179"/>
      <c r="G172" s="179"/>
      <c r="H172" s="179"/>
      <c r="I172" s="179"/>
      <c r="J172" s="179"/>
      <c r="K172" s="236">
        <v>10257.27918512519</v>
      </c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</row>
    <row r="173" spans="1:22" ht="14.4">
      <c r="A173" s="238" t="s">
        <v>4</v>
      </c>
      <c r="B173" s="239"/>
      <c r="C173" s="179"/>
      <c r="D173" s="179"/>
      <c r="E173" s="179"/>
      <c r="F173" s="179"/>
      <c r="G173" s="179"/>
      <c r="H173" s="179"/>
      <c r="I173" s="179"/>
      <c r="J173" s="179"/>
      <c r="K173" s="239">
        <v>0.59568235249464341</v>
      </c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</row>
    <row r="174" spans="1:22" ht="14.4">
      <c r="A174" s="238"/>
      <c r="B174" s="240"/>
      <c r="C174" s="179"/>
      <c r="D174" s="179"/>
      <c r="E174" s="179"/>
      <c r="F174" s="179"/>
      <c r="G174" s="179"/>
      <c r="H174" s="179"/>
      <c r="I174" s="179"/>
      <c r="J174" s="179"/>
      <c r="K174" s="240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</row>
    <row r="175" spans="1:22" ht="14.4">
      <c r="A175" s="241" t="s">
        <v>52</v>
      </c>
      <c r="B175" s="228"/>
      <c r="C175" s="179"/>
      <c r="D175" s="179"/>
      <c r="E175" s="179"/>
      <c r="F175" s="179"/>
      <c r="G175" s="179"/>
      <c r="H175" s="179"/>
      <c r="I175" s="179"/>
      <c r="J175" s="179"/>
      <c r="K175" s="228">
        <v>10552.775973267757</v>
      </c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</row>
    <row r="176" spans="1:22" ht="14.4">
      <c r="A176" s="242" t="s">
        <v>223</v>
      </c>
      <c r="B176" s="243"/>
      <c r="C176" s="179"/>
      <c r="D176" s="179"/>
      <c r="E176" s="179"/>
      <c r="F176" s="179"/>
      <c r="G176" s="179"/>
      <c r="H176" s="179"/>
      <c r="I176" s="179"/>
      <c r="J176" s="179"/>
      <c r="K176" s="243">
        <v>5708.2018461197977</v>
      </c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</row>
    <row r="177" spans="1:17" ht="14.4">
      <c r="A177" s="242" t="s">
        <v>224</v>
      </c>
      <c r="B177" s="228"/>
      <c r="C177" s="179"/>
      <c r="D177" s="179"/>
      <c r="E177" s="179"/>
      <c r="F177" s="179"/>
      <c r="G177" s="179"/>
      <c r="H177" s="179"/>
      <c r="I177" s="179"/>
      <c r="J177" s="179"/>
      <c r="K177" s="228">
        <v>4844.5741271479592</v>
      </c>
      <c r="Q177" s="129"/>
    </row>
    <row r="178" spans="1:17" ht="14.4">
      <c r="A178" s="241" t="s">
        <v>225</v>
      </c>
      <c r="B178" s="228"/>
      <c r="C178" s="179"/>
      <c r="D178" s="179"/>
      <c r="E178" s="179"/>
      <c r="F178" s="179"/>
      <c r="G178" s="179"/>
      <c r="H178" s="179"/>
      <c r="I178" s="179"/>
      <c r="J178" s="179"/>
      <c r="K178" s="228">
        <v>2530.7577717723161</v>
      </c>
      <c r="Q178" s="129"/>
    </row>
    <row r="179" spans="1:17" ht="14.4">
      <c r="A179" s="244" t="s">
        <v>225</v>
      </c>
      <c r="B179" s="228"/>
      <c r="C179" s="179"/>
      <c r="D179" s="179"/>
      <c r="E179" s="179"/>
      <c r="F179" s="179"/>
      <c r="G179" s="179"/>
      <c r="H179" s="179"/>
      <c r="I179" s="179"/>
      <c r="J179" s="179"/>
      <c r="K179" s="228">
        <v>1973.1285357426675</v>
      </c>
      <c r="Q179" s="129"/>
    </row>
    <row r="180" spans="1:17" ht="14.4">
      <c r="A180" s="225" t="s">
        <v>3</v>
      </c>
      <c r="B180" s="245"/>
      <c r="C180" s="179"/>
      <c r="D180" s="179"/>
      <c r="E180" s="179"/>
      <c r="F180" s="179"/>
      <c r="G180" s="179"/>
      <c r="H180" s="179"/>
      <c r="I180" s="179"/>
      <c r="J180" s="179"/>
      <c r="K180" s="245">
        <v>201.02146102964883</v>
      </c>
      <c r="Q180" s="129"/>
    </row>
    <row r="181" spans="1:17" ht="14.4">
      <c r="A181" s="225" t="s">
        <v>226</v>
      </c>
      <c r="B181" s="246"/>
      <c r="C181" s="179"/>
      <c r="D181" s="179"/>
      <c r="E181" s="179"/>
      <c r="F181" s="179"/>
      <c r="G181" s="179"/>
      <c r="H181" s="179"/>
      <c r="I181" s="179"/>
      <c r="J181" s="179"/>
      <c r="K181" s="246">
        <v>356.607775</v>
      </c>
      <c r="Q181" s="129"/>
    </row>
    <row r="182" spans="1:17" ht="14.4">
      <c r="A182" s="241" t="s">
        <v>227</v>
      </c>
      <c r="B182" s="228"/>
      <c r="C182" s="179"/>
      <c r="D182" s="179"/>
      <c r="E182" s="179"/>
      <c r="F182" s="179"/>
      <c r="G182" s="179"/>
      <c r="H182" s="179"/>
      <c r="I182" s="179"/>
      <c r="J182" s="179"/>
      <c r="K182" s="228">
        <v>-218.33333333333334</v>
      </c>
      <c r="Q182" s="129"/>
    </row>
    <row r="183" spans="1:17" ht="14.4">
      <c r="A183" s="225" t="s">
        <v>228</v>
      </c>
      <c r="B183" s="247"/>
      <c r="C183" s="179"/>
      <c r="D183" s="179"/>
      <c r="E183" s="179"/>
      <c r="F183" s="179"/>
      <c r="G183" s="179"/>
      <c r="H183" s="179"/>
      <c r="I183" s="179"/>
      <c r="J183" s="179"/>
      <c r="K183" s="247">
        <v>40</v>
      </c>
      <c r="Q183" s="129"/>
    </row>
    <row r="184" spans="1:17" ht="14.4">
      <c r="A184" s="225" t="s">
        <v>229</v>
      </c>
      <c r="B184" s="245"/>
      <c r="C184" s="179"/>
      <c r="D184" s="179"/>
      <c r="E184" s="179"/>
      <c r="F184" s="179"/>
      <c r="G184" s="179"/>
      <c r="H184" s="179"/>
      <c r="I184" s="179"/>
      <c r="J184" s="179"/>
      <c r="K184" s="245">
        <v>250</v>
      </c>
      <c r="Q184" s="129"/>
    </row>
    <row r="185" spans="1:17" ht="14.4">
      <c r="A185" s="242" t="s">
        <v>230</v>
      </c>
      <c r="B185" s="231"/>
      <c r="C185" s="179"/>
      <c r="D185" s="179"/>
      <c r="E185" s="179"/>
      <c r="F185" s="179"/>
      <c r="G185" s="179"/>
      <c r="H185" s="179"/>
      <c r="I185" s="179"/>
      <c r="J185" s="179"/>
      <c r="K185" s="231">
        <v>-8.3333333333333339</v>
      </c>
      <c r="Q185" s="129"/>
    </row>
    <row r="186" spans="1:17" ht="14.4">
      <c r="A186" s="225" t="s">
        <v>231</v>
      </c>
      <c r="B186" s="248"/>
      <c r="C186" s="179"/>
      <c r="D186" s="179"/>
      <c r="E186" s="179"/>
      <c r="F186" s="179"/>
      <c r="G186" s="179"/>
      <c r="H186" s="179"/>
      <c r="I186" s="179"/>
      <c r="J186" s="179"/>
      <c r="K186" s="248">
        <v>0</v>
      </c>
      <c r="Q186" s="129"/>
    </row>
    <row r="187" spans="1:17" ht="14.4">
      <c r="A187" s="241" t="s">
        <v>232</v>
      </c>
      <c r="B187" s="228"/>
      <c r="C187" s="179"/>
      <c r="D187" s="179"/>
      <c r="E187" s="179"/>
      <c r="F187" s="179"/>
      <c r="G187" s="179"/>
      <c r="H187" s="179"/>
      <c r="I187" s="179"/>
      <c r="J187" s="179"/>
      <c r="K187" s="228">
        <v>-1667.3769621482606</v>
      </c>
      <c r="Q187" s="129"/>
    </row>
    <row r="188" spans="1:17" ht="14.4">
      <c r="A188" s="225" t="s">
        <v>233</v>
      </c>
      <c r="B188" s="245"/>
      <c r="C188" s="179"/>
      <c r="D188" s="179"/>
      <c r="E188" s="179"/>
      <c r="F188" s="179"/>
      <c r="G188" s="179"/>
      <c r="H188" s="179"/>
      <c r="I188" s="179"/>
      <c r="J188" s="179"/>
      <c r="K188" s="245">
        <v>140.84719683872652</v>
      </c>
      <c r="Q188" s="129"/>
    </row>
    <row r="189" spans="1:17" ht="14.4">
      <c r="A189" s="225" t="s">
        <v>234</v>
      </c>
      <c r="B189" s="245"/>
      <c r="C189" s="179"/>
      <c r="D189" s="179"/>
      <c r="E189" s="179"/>
      <c r="F189" s="179"/>
      <c r="G189" s="179"/>
      <c r="H189" s="179"/>
      <c r="I189" s="179"/>
      <c r="J189" s="179"/>
      <c r="K189" s="245">
        <v>-666.72890933849135</v>
      </c>
      <c r="Q189" s="129"/>
    </row>
    <row r="190" spans="1:17" ht="14.4">
      <c r="A190" s="242" t="s">
        <v>235</v>
      </c>
      <c r="B190" s="245"/>
      <c r="C190" s="179"/>
      <c r="D190" s="179"/>
      <c r="E190" s="179"/>
      <c r="F190" s="179"/>
      <c r="G190" s="179"/>
      <c r="H190" s="179"/>
      <c r="I190" s="179"/>
      <c r="J190" s="179"/>
      <c r="K190" s="245">
        <v>-1141.4952496484957</v>
      </c>
      <c r="Q190" s="129"/>
    </row>
    <row r="191" spans="1:17" ht="14.4">
      <c r="A191" s="241" t="s">
        <v>236</v>
      </c>
      <c r="B191" s="231"/>
      <c r="C191" s="179"/>
      <c r="D191" s="179"/>
      <c r="E191" s="179"/>
      <c r="F191" s="179"/>
      <c r="G191" s="179"/>
      <c r="H191" s="179"/>
      <c r="I191" s="179"/>
      <c r="J191" s="179"/>
      <c r="K191" s="231">
        <v>-796.97317125585778</v>
      </c>
      <c r="Q191" s="129"/>
    </row>
    <row r="192" spans="1:17" ht="14.4">
      <c r="A192" s="241" t="s">
        <v>237</v>
      </c>
      <c r="B192" s="231"/>
      <c r="C192" s="179"/>
      <c r="D192" s="179"/>
      <c r="E192" s="179"/>
      <c r="F192" s="179"/>
      <c r="G192" s="179"/>
      <c r="H192" s="179"/>
      <c r="I192" s="179"/>
      <c r="J192" s="179"/>
      <c r="K192" s="231">
        <v>-2348.0360527856596</v>
      </c>
      <c r="Q192" s="129"/>
    </row>
    <row r="193" spans="1:17" ht="14.4">
      <c r="A193" s="241" t="s">
        <v>238</v>
      </c>
      <c r="B193" s="249"/>
      <c r="C193" s="179"/>
      <c r="D193" s="179"/>
      <c r="E193" s="179"/>
      <c r="F193" s="179"/>
      <c r="G193" s="179"/>
      <c r="H193" s="179"/>
      <c r="I193" s="179"/>
      <c r="J193" s="179"/>
      <c r="K193" s="249">
        <v>692.39995327335271</v>
      </c>
      <c r="Q193" s="129"/>
    </row>
    <row r="194" spans="1:17" ht="14.4">
      <c r="A194" s="250" t="s">
        <v>239</v>
      </c>
      <c r="B194" s="236"/>
      <c r="C194" s="179"/>
      <c r="D194" s="179"/>
      <c r="E194" s="179"/>
      <c r="F194" s="179"/>
      <c r="G194" s="179"/>
      <c r="H194" s="179"/>
      <c r="I194" s="179"/>
      <c r="J194" s="179"/>
      <c r="K194" s="236">
        <v>1075.3983396682083</v>
      </c>
      <c r="Q194" s="129"/>
    </row>
    <row r="195" spans="1:17" ht="14.4">
      <c r="A195" s="251" t="s">
        <v>7</v>
      </c>
      <c r="B195" s="252"/>
      <c r="C195" s="179"/>
      <c r="D195" s="179"/>
      <c r="E195" s="179"/>
      <c r="F195" s="179"/>
      <c r="G195" s="179"/>
      <c r="H195" s="179"/>
      <c r="I195" s="179"/>
      <c r="J195" s="179"/>
      <c r="K195" s="252">
        <v>6.3567849046092084E-2</v>
      </c>
      <c r="Q195" s="129"/>
    </row>
    <row r="196" spans="1:17" ht="15" thickBot="1">
      <c r="A196" s="251"/>
      <c r="B196" s="240"/>
      <c r="C196" s="179"/>
      <c r="D196" s="179"/>
      <c r="E196" s="179"/>
      <c r="F196" s="179"/>
      <c r="G196" s="179"/>
      <c r="H196" s="179"/>
      <c r="I196" s="179"/>
      <c r="J196" s="179"/>
      <c r="K196" s="240"/>
      <c r="Q196" s="129"/>
    </row>
    <row r="197" spans="1:17" ht="14.4">
      <c r="A197" s="253" t="s">
        <v>240</v>
      </c>
      <c r="B197" s="254"/>
      <c r="C197" s="179"/>
      <c r="D197" s="179"/>
      <c r="E197" s="179"/>
      <c r="F197" s="179"/>
      <c r="G197" s="179"/>
      <c r="H197" s="179"/>
      <c r="I197" s="179"/>
      <c r="J197" s="179"/>
      <c r="K197" s="254"/>
      <c r="Q197" s="129"/>
    </row>
    <row r="198" spans="1:17" ht="14.4">
      <c r="A198" s="255" t="s">
        <v>241</v>
      </c>
      <c r="B198" s="231"/>
      <c r="C198" s="179"/>
      <c r="D198" s="179"/>
      <c r="E198" s="179"/>
      <c r="F198" s="179"/>
      <c r="G198" s="179"/>
      <c r="H198" s="179"/>
      <c r="I198" s="179"/>
      <c r="J198" s="179"/>
      <c r="K198" s="231">
        <v>927.06666666666672</v>
      </c>
      <c r="Q198" s="129"/>
    </row>
    <row r="199" spans="1:17" ht="14.4">
      <c r="A199" s="255" t="s">
        <v>242</v>
      </c>
      <c r="B199" s="231"/>
      <c r="C199" s="179"/>
      <c r="D199" s="179"/>
      <c r="E199" s="179"/>
      <c r="F199" s="179"/>
      <c r="G199" s="179"/>
      <c r="H199" s="179"/>
      <c r="I199" s="179"/>
      <c r="J199" s="179"/>
      <c r="K199" s="231">
        <v>0</v>
      </c>
      <c r="Q199" s="129"/>
    </row>
    <row r="200" spans="1:17" ht="14.4">
      <c r="A200" s="255" t="s">
        <v>243</v>
      </c>
      <c r="B200" s="256"/>
      <c r="C200" s="179"/>
      <c r="D200" s="179"/>
      <c r="E200" s="179"/>
      <c r="F200" s="179"/>
      <c r="G200" s="179"/>
      <c r="H200" s="179"/>
      <c r="I200" s="179"/>
      <c r="J200" s="179"/>
      <c r="K200" s="256">
        <v>0</v>
      </c>
      <c r="Q200" s="129"/>
    </row>
    <row r="201" spans="1:17" ht="14.4">
      <c r="A201" s="250" t="s">
        <v>244</v>
      </c>
      <c r="B201" s="236"/>
      <c r="C201" s="179"/>
      <c r="D201" s="179"/>
      <c r="E201" s="179"/>
      <c r="F201" s="179"/>
      <c r="G201" s="179"/>
      <c r="H201" s="179"/>
      <c r="I201" s="179"/>
      <c r="J201" s="179"/>
      <c r="K201" s="236">
        <v>2002.4650063348749</v>
      </c>
      <c r="Q201" s="129"/>
    </row>
    <row r="202" spans="1:17" ht="14.4">
      <c r="A202" s="257" t="s">
        <v>6</v>
      </c>
      <c r="B202" s="252"/>
      <c r="C202" s="179"/>
      <c r="D202" s="179"/>
      <c r="E202" s="179"/>
      <c r="F202" s="179"/>
      <c r="G202" s="179"/>
      <c r="H202" s="179"/>
      <c r="I202" s="179"/>
      <c r="J202" s="179"/>
      <c r="K202" s="252">
        <v>0.11836766763286111</v>
      </c>
      <c r="Q202" s="129"/>
    </row>
    <row r="203" spans="1:17" ht="14.4">
      <c r="A203" s="258"/>
      <c r="B203" s="240"/>
      <c r="C203" s="179"/>
      <c r="D203" s="179"/>
      <c r="E203" s="179"/>
      <c r="F203" s="179"/>
      <c r="G203" s="179"/>
      <c r="H203" s="179"/>
      <c r="I203" s="179"/>
      <c r="J203" s="179"/>
      <c r="K203" s="240"/>
      <c r="Q203" s="129"/>
    </row>
    <row r="204" spans="1:17" ht="14.4">
      <c r="A204" s="255" t="s">
        <v>245</v>
      </c>
      <c r="B204" s="231"/>
      <c r="C204" s="179"/>
      <c r="D204" s="179"/>
      <c r="E204" s="179"/>
      <c r="F204" s="179"/>
      <c r="G204" s="179"/>
      <c r="H204" s="179"/>
      <c r="I204" s="179"/>
      <c r="J204" s="179"/>
      <c r="K204" s="231">
        <v>496.91821947521396</v>
      </c>
      <c r="Q204" s="129"/>
    </row>
    <row r="205" spans="1:17" ht="14.4">
      <c r="A205" s="255" t="s">
        <v>246</v>
      </c>
      <c r="B205" s="231"/>
      <c r="C205" s="179"/>
      <c r="D205" s="179"/>
      <c r="E205" s="179"/>
      <c r="F205" s="179"/>
      <c r="G205" s="179"/>
      <c r="H205" s="179"/>
      <c r="I205" s="179"/>
      <c r="J205" s="179"/>
      <c r="K205" s="231"/>
      <c r="Q205" s="129"/>
    </row>
    <row r="206" spans="1:17" ht="14.4">
      <c r="A206" s="255" t="s">
        <v>247</v>
      </c>
      <c r="B206" s="231"/>
      <c r="C206" s="179"/>
      <c r="D206" s="179"/>
      <c r="E206" s="179"/>
      <c r="F206" s="179"/>
      <c r="G206" s="179"/>
      <c r="H206" s="179"/>
      <c r="I206" s="179"/>
      <c r="J206" s="179"/>
      <c r="K206" s="231">
        <v>-1667.3769621482606</v>
      </c>
      <c r="Q206" s="129"/>
    </row>
    <row r="207" spans="1:17" ht="14.4">
      <c r="A207" s="255" t="s">
        <v>248</v>
      </c>
      <c r="B207" s="231"/>
      <c r="C207" s="179"/>
      <c r="D207" s="179"/>
      <c r="E207" s="179"/>
      <c r="F207" s="179"/>
      <c r="G207" s="179"/>
      <c r="H207" s="179"/>
      <c r="I207" s="179"/>
      <c r="J207" s="179"/>
      <c r="K207" s="231">
        <v>-796.97317125585778</v>
      </c>
    </row>
    <row r="208" spans="1:17" ht="14.4">
      <c r="A208" s="255" t="s">
        <v>249</v>
      </c>
      <c r="B208" s="231"/>
      <c r="C208" s="179"/>
      <c r="D208" s="179"/>
      <c r="E208" s="179"/>
      <c r="F208" s="179"/>
      <c r="G208" s="179"/>
      <c r="H208" s="179"/>
      <c r="I208" s="179"/>
      <c r="J208" s="179"/>
      <c r="K208" s="231">
        <v>-2348.0360527856596</v>
      </c>
    </row>
    <row r="209" spans="1:22" ht="14.4">
      <c r="A209" s="255" t="s">
        <v>250</v>
      </c>
      <c r="B209" s="231"/>
      <c r="C209" s="179"/>
      <c r="D209" s="179"/>
      <c r="E209" s="179"/>
      <c r="F209" s="179"/>
      <c r="G209" s="179"/>
      <c r="H209" s="179"/>
      <c r="I209" s="179"/>
      <c r="J209" s="179"/>
      <c r="K209" s="231">
        <v>-234.66671339331401</v>
      </c>
    </row>
    <row r="210" spans="1:22" ht="14.4">
      <c r="A210" s="250" t="s">
        <v>251</v>
      </c>
      <c r="B210" s="236"/>
      <c r="C210" s="179"/>
      <c r="D210" s="179"/>
      <c r="E210" s="179"/>
      <c r="F210" s="179"/>
      <c r="G210" s="179"/>
      <c r="H210" s="179"/>
      <c r="I210" s="179"/>
      <c r="J210" s="179"/>
      <c r="K210" s="236">
        <v>-2547.669673773004</v>
      </c>
    </row>
    <row r="211" spans="1:22" ht="14.4">
      <c r="A211" s="257" t="s">
        <v>5</v>
      </c>
      <c r="B211" s="252"/>
      <c r="C211" s="179"/>
      <c r="D211" s="179"/>
      <c r="E211" s="179"/>
      <c r="F211" s="179"/>
      <c r="G211" s="179"/>
      <c r="H211" s="179"/>
      <c r="I211" s="179"/>
      <c r="J211" s="179"/>
      <c r="K211" s="252">
        <v>-0.15059524946976877</v>
      </c>
      <c r="T211" s="131"/>
    </row>
    <row r="212" spans="1:22" ht="14.4">
      <c r="A212" s="258"/>
      <c r="B212" s="240"/>
      <c r="C212" s="179"/>
      <c r="D212" s="179"/>
      <c r="E212" s="179"/>
      <c r="F212" s="179"/>
      <c r="G212" s="179"/>
      <c r="H212" s="179"/>
      <c r="I212" s="179"/>
      <c r="J212" s="179"/>
      <c r="K212" s="240"/>
      <c r="T212" s="131"/>
      <c r="U212" s="131"/>
      <c r="V212" s="131"/>
    </row>
    <row r="213" spans="1:22" ht="14.4">
      <c r="A213" s="255" t="s">
        <v>252</v>
      </c>
      <c r="B213" s="231"/>
      <c r="C213" s="179"/>
      <c r="D213" s="179"/>
      <c r="E213" s="179"/>
      <c r="F213" s="179"/>
      <c r="G213" s="179"/>
      <c r="H213" s="179"/>
      <c r="I213" s="179"/>
      <c r="J213" s="179"/>
      <c r="K213" s="231">
        <v>1141.4952496484957</v>
      </c>
      <c r="T213" s="131"/>
      <c r="U213" s="128"/>
      <c r="V213" s="128"/>
    </row>
    <row r="214" spans="1:22" ht="14.4">
      <c r="A214" s="255" t="s">
        <v>253</v>
      </c>
      <c r="B214" s="231"/>
      <c r="C214" s="179"/>
      <c r="D214" s="179"/>
      <c r="E214" s="179"/>
      <c r="F214" s="179"/>
      <c r="G214" s="179"/>
      <c r="H214" s="179"/>
      <c r="I214" s="179"/>
      <c r="J214" s="179"/>
      <c r="K214" s="231">
        <v>-690.19621586268818</v>
      </c>
      <c r="T214" s="131"/>
      <c r="U214" s="128"/>
      <c r="V214" s="128"/>
    </row>
    <row r="215" spans="1:22" ht="14.4">
      <c r="A215" s="250" t="s">
        <v>254</v>
      </c>
      <c r="B215" s="236"/>
      <c r="C215" s="179"/>
      <c r="D215" s="179"/>
      <c r="E215" s="179"/>
      <c r="F215" s="179"/>
      <c r="G215" s="179"/>
      <c r="H215" s="179"/>
      <c r="I215" s="179"/>
      <c r="J215" s="179"/>
      <c r="K215" s="236">
        <v>-2096.3706399871962</v>
      </c>
      <c r="T215" s="131"/>
      <c r="U215" s="128"/>
      <c r="V215" s="128"/>
    </row>
    <row r="216" spans="1:22" ht="14.4">
      <c r="A216" s="257" t="s">
        <v>255</v>
      </c>
      <c r="B216" s="252"/>
      <c r="C216" s="179"/>
      <c r="D216" s="179"/>
      <c r="E216" s="179"/>
      <c r="F216" s="179"/>
      <c r="G216" s="179"/>
      <c r="H216" s="179"/>
      <c r="I216" s="179"/>
      <c r="J216" s="179"/>
      <c r="K216" s="252">
        <v>-0.12391852160426495</v>
      </c>
      <c r="T216" s="131"/>
      <c r="U216" s="128"/>
      <c r="V216" s="128"/>
    </row>
    <row r="217" spans="1:22" ht="14.4">
      <c r="A217" s="151" t="s">
        <v>207</v>
      </c>
      <c r="B217" s="150"/>
      <c r="K217" s="150">
        <v>0</v>
      </c>
      <c r="T217" s="131" t="s">
        <v>208</v>
      </c>
      <c r="U217" s="128">
        <f>U213-U214+U215+U216</f>
        <v>0</v>
      </c>
      <c r="V217" s="128">
        <f>V213-V214+V215+V216</f>
        <v>0</v>
      </c>
    </row>
    <row r="218" spans="1:22" ht="14.4">
      <c r="A218" s="151" t="s">
        <v>209</v>
      </c>
      <c r="B218" s="150"/>
      <c r="K218" s="150">
        <v>0</v>
      </c>
    </row>
    <row r="219" spans="1:22" ht="14.4">
      <c r="A219" s="152" t="s">
        <v>210</v>
      </c>
      <c r="B219" s="150"/>
      <c r="K219" s="150">
        <f>SUM(K220:K221,K223)-K222</f>
        <v>2775.6015012699886</v>
      </c>
      <c r="T219" s="131" t="s">
        <v>211</v>
      </c>
      <c r="U219" s="129">
        <f>(C53+C65+J53)-C9</f>
        <v>176126</v>
      </c>
      <c r="V219" s="129">
        <f>(L53+L65)-L9</f>
        <v>171271</v>
      </c>
    </row>
    <row r="220" spans="1:22" ht="14.4">
      <c r="A220" s="153" t="s">
        <v>212</v>
      </c>
      <c r="B220" s="148"/>
      <c r="K220" s="148">
        <v>2665.8305620537099</v>
      </c>
    </row>
    <row r="221" spans="1:22" ht="14.4">
      <c r="A221" s="153" t="s">
        <v>213</v>
      </c>
      <c r="B221" s="148"/>
      <c r="K221" s="148">
        <v>185.44597201318413</v>
      </c>
      <c r="T221" s="131" t="s">
        <v>214</v>
      </c>
      <c r="U221" s="154" t="e">
        <f>U219/U217</f>
        <v>#DIV/0!</v>
      </c>
      <c r="V221" s="154" t="e">
        <f>V219/V217</f>
        <v>#DIV/0!</v>
      </c>
    </row>
    <row r="222" spans="1:22" ht="14.4">
      <c r="A222" s="149" t="s">
        <v>215</v>
      </c>
      <c r="B222" s="148"/>
      <c r="K222" s="148">
        <v>75.6750327969051</v>
      </c>
      <c r="T222" s="131" t="s">
        <v>214</v>
      </c>
      <c r="U222" s="154">
        <v>3.5</v>
      </c>
      <c r="V222" s="154">
        <v>3.5</v>
      </c>
    </row>
    <row r="223" spans="1:22" ht="14.4">
      <c r="A223" s="149" t="s">
        <v>216</v>
      </c>
      <c r="B223" s="150"/>
      <c r="K223" s="150">
        <v>0</v>
      </c>
      <c r="T223" s="131" t="s">
        <v>217</v>
      </c>
      <c r="U223" s="154" t="e">
        <f>U222-U221</f>
        <v>#DIV/0!</v>
      </c>
      <c r="V223" s="154" t="e">
        <f>V222-V221</f>
        <v>#DIV/0!</v>
      </c>
    </row>
    <row r="224" spans="1:22" ht="14.4">
      <c r="A224" s="155" t="s">
        <v>218</v>
      </c>
      <c r="B224" s="156"/>
      <c r="K224" s="156">
        <f>K211-K219</f>
        <v>-2775.7520965194585</v>
      </c>
      <c r="T224" s="131" t="s">
        <v>219</v>
      </c>
      <c r="U224" s="129">
        <f>U219/U222-U217</f>
        <v>50321.714285714283</v>
      </c>
      <c r="V224" s="129">
        <f>V219/V222-V217</f>
        <v>48934.571428571428</v>
      </c>
    </row>
    <row r="225" spans="1:11" ht="14.4">
      <c r="A225" s="157" t="s">
        <v>220</v>
      </c>
      <c r="B225" s="148"/>
      <c r="K225" s="148">
        <f>SUM(K226:K228)</f>
        <v>6660.0517582020475</v>
      </c>
    </row>
    <row r="226" spans="1:11" ht="14.4">
      <c r="A226" s="147" t="s">
        <v>221</v>
      </c>
      <c r="B226" s="150"/>
      <c r="K226" s="150">
        <v>5486.9068051513486</v>
      </c>
    </row>
    <row r="227" spans="1:11" ht="14.4">
      <c r="A227" s="147" t="s">
        <v>202</v>
      </c>
      <c r="B227" s="150"/>
      <c r="K227" s="150">
        <v>1173.1449530506991</v>
      </c>
    </row>
    <row r="228" spans="1:11" ht="14.4">
      <c r="A228" s="147" t="s">
        <v>222</v>
      </c>
      <c r="B228" s="150"/>
      <c r="K228" s="150">
        <v>0</v>
      </c>
    </row>
    <row r="229" spans="1:11" ht="14.4">
      <c r="A229" s="155" t="s">
        <v>2</v>
      </c>
      <c r="B229" s="156"/>
      <c r="K229" s="156">
        <f>K224-K225</f>
        <v>-9435.8038547215056</v>
      </c>
    </row>
    <row r="230" spans="1:11" ht="14.4">
      <c r="A230" s="158" t="s">
        <v>4</v>
      </c>
      <c r="B230" s="159"/>
      <c r="K230" s="159">
        <v>0.59568235249464341</v>
      </c>
    </row>
    <row r="231" spans="1:11" ht="14.4">
      <c r="A231" s="158"/>
      <c r="B231" s="160"/>
      <c r="K231" s="160"/>
    </row>
    <row r="232" spans="1:11" ht="14.4">
      <c r="A232" s="161" t="s">
        <v>52</v>
      </c>
      <c r="B232" s="148"/>
      <c r="K232" s="148">
        <f>K233+K234</f>
        <v>10552.775973267757</v>
      </c>
    </row>
    <row r="233" spans="1:11" ht="14.4">
      <c r="A233" s="162" t="s">
        <v>223</v>
      </c>
      <c r="B233" s="163"/>
      <c r="K233" s="163">
        <v>5708.2018461197977</v>
      </c>
    </row>
    <row r="234" spans="1:11" ht="14.4">
      <c r="A234" s="162" t="s">
        <v>224</v>
      </c>
      <c r="B234" s="148"/>
      <c r="K234" s="148">
        <v>4844.5741271479592</v>
      </c>
    </row>
    <row r="235" spans="1:11" ht="14.4">
      <c r="A235" s="161" t="s">
        <v>225</v>
      </c>
      <c r="B235" s="148"/>
      <c r="K235" s="148">
        <f>SUM(K236:K238)</f>
        <v>2530.7577717723161</v>
      </c>
    </row>
    <row r="236" spans="1:11" ht="14.4">
      <c r="A236" s="164" t="s">
        <v>225</v>
      </c>
      <c r="B236" s="148"/>
      <c r="K236" s="148">
        <v>1973.1285357426675</v>
      </c>
    </row>
    <row r="237" spans="1:11" ht="14.4">
      <c r="A237" s="146" t="s">
        <v>3</v>
      </c>
      <c r="B237" s="165"/>
      <c r="K237" s="165">
        <v>201.02146102964883</v>
      </c>
    </row>
    <row r="238" spans="1:11" ht="14.4">
      <c r="A238" s="146" t="s">
        <v>226</v>
      </c>
      <c r="B238" s="166"/>
      <c r="K238" s="166">
        <v>356.607775</v>
      </c>
    </row>
    <row r="239" spans="1:11" ht="14.4">
      <c r="A239" s="161" t="s">
        <v>227</v>
      </c>
      <c r="B239" s="148"/>
      <c r="K239" s="148">
        <f>K240-K241+K242-K243</f>
        <v>-218.33333333333334</v>
      </c>
    </row>
    <row r="240" spans="1:11" ht="14.4">
      <c r="A240" s="146" t="s">
        <v>228</v>
      </c>
      <c r="B240" s="167"/>
      <c r="K240" s="167">
        <v>40</v>
      </c>
    </row>
    <row r="241" spans="1:11" ht="14.4">
      <c r="A241" s="146" t="s">
        <v>229</v>
      </c>
      <c r="B241" s="165"/>
      <c r="K241" s="165">
        <v>250</v>
      </c>
    </row>
    <row r="242" spans="1:11" ht="14.4">
      <c r="A242" s="162" t="s">
        <v>230</v>
      </c>
      <c r="B242" s="150"/>
      <c r="K242" s="150">
        <v>-8.3333333333333339</v>
      </c>
    </row>
    <row r="243" spans="1:11" ht="14.4">
      <c r="A243" s="146" t="s">
        <v>231</v>
      </c>
      <c r="B243" s="168"/>
      <c r="K243" s="168">
        <v>0</v>
      </c>
    </row>
    <row r="244" spans="1:11" ht="14.4">
      <c r="A244" s="161" t="s">
        <v>232</v>
      </c>
      <c r="B244" s="148"/>
      <c r="K244" s="148">
        <f>SUM(K245:K247)</f>
        <v>-1667.3769621482606</v>
      </c>
    </row>
    <row r="245" spans="1:11" ht="14.4">
      <c r="A245" s="146" t="s">
        <v>233</v>
      </c>
      <c r="B245" s="165"/>
      <c r="K245" s="165">
        <v>140.84719683872652</v>
      </c>
    </row>
    <row r="246" spans="1:11" ht="14.4">
      <c r="A246" s="146" t="s">
        <v>234</v>
      </c>
      <c r="B246" s="165"/>
      <c r="K246" s="165">
        <v>-666.72890933849135</v>
      </c>
    </row>
    <row r="247" spans="1:11" ht="14.4">
      <c r="A247" s="162" t="s">
        <v>235</v>
      </c>
      <c r="B247" s="165"/>
      <c r="K247" s="165">
        <v>-1141.4952496484957</v>
      </c>
    </row>
    <row r="248" spans="1:11" ht="14.4">
      <c r="A248" s="161" t="s">
        <v>236</v>
      </c>
      <c r="B248" s="150"/>
      <c r="K248" s="150">
        <v>-796.97317125585778</v>
      </c>
    </row>
    <row r="249" spans="1:11" ht="14.4">
      <c r="A249" s="161" t="s">
        <v>237</v>
      </c>
      <c r="B249" s="150"/>
      <c r="K249" s="150">
        <v>-2348.0360527856596</v>
      </c>
    </row>
    <row r="250" spans="1:11" ht="14.4">
      <c r="A250" s="161" t="s">
        <v>238</v>
      </c>
      <c r="B250" s="169"/>
      <c r="K250" s="169">
        <v>692.39995327335271</v>
      </c>
    </row>
    <row r="251" spans="1:11" ht="14.4">
      <c r="A251" s="170" t="s">
        <v>239</v>
      </c>
      <c r="B251" s="156"/>
      <c r="K251" s="156">
        <f>K229-K232-K235+K239-K244-K248-K249-K250</f>
        <v>-18617.684700178488</v>
      </c>
    </row>
    <row r="252" spans="1:11" ht="14.4">
      <c r="A252" s="171" t="s">
        <v>7</v>
      </c>
      <c r="B252" s="172"/>
      <c r="K252" s="172">
        <f>K251/K224</f>
        <v>6.7072577279229568</v>
      </c>
    </row>
    <row r="253" spans="1:11" ht="15" thickBot="1">
      <c r="A253" s="171"/>
      <c r="B253" s="160"/>
      <c r="K253" s="160"/>
    </row>
    <row r="254" spans="1:11" ht="14.4">
      <c r="A254" s="173" t="s">
        <v>240</v>
      </c>
      <c r="B254" s="174"/>
      <c r="K254" s="174"/>
    </row>
    <row r="255" spans="1:11" ht="14.4">
      <c r="A255" s="175" t="s">
        <v>241</v>
      </c>
      <c r="B255" s="150"/>
      <c r="K255" s="150">
        <v>927.06666666666672</v>
      </c>
    </row>
    <row r="256" spans="1:11" ht="14.4">
      <c r="A256" s="175" t="s">
        <v>242</v>
      </c>
      <c r="B256" s="150"/>
      <c r="K256" s="150">
        <v>0</v>
      </c>
    </row>
    <row r="257" spans="1:11" ht="14.4">
      <c r="A257" s="175" t="s">
        <v>243</v>
      </c>
      <c r="B257" s="176"/>
      <c r="K257" s="176">
        <v>0</v>
      </c>
    </row>
    <row r="258" spans="1:11" ht="14.4">
      <c r="A258" s="170" t="s">
        <v>244</v>
      </c>
      <c r="B258" s="156"/>
      <c r="K258" s="156">
        <f>K251+SUM(K255:K257)</f>
        <v>-17690.618033511822</v>
      </c>
    </row>
    <row r="259" spans="1:11" ht="14.4">
      <c r="A259" s="177" t="s">
        <v>6</v>
      </c>
      <c r="B259" s="172"/>
      <c r="K259" s="172">
        <f>K258/K224</f>
        <v>6.3732701690811124</v>
      </c>
    </row>
    <row r="260" spans="1:11" ht="14.4">
      <c r="A260" s="178"/>
      <c r="B260" s="160"/>
      <c r="K260" s="160"/>
    </row>
    <row r="261" spans="1:11" ht="14.4">
      <c r="A261" s="175" t="s">
        <v>245</v>
      </c>
      <c r="B261" s="150"/>
      <c r="K261" s="150">
        <v>496.91821947521396</v>
      </c>
    </row>
    <row r="262" spans="1:11" ht="14.4">
      <c r="A262" s="175" t="s">
        <v>246</v>
      </c>
      <c r="B262" s="150"/>
      <c r="K262" s="150"/>
    </row>
    <row r="263" spans="1:11" ht="14.4">
      <c r="A263" s="175" t="s">
        <v>247</v>
      </c>
      <c r="B263" s="150"/>
      <c r="K263" s="150">
        <f>K244</f>
        <v>-1667.3769621482606</v>
      </c>
    </row>
    <row r="264" spans="1:11" ht="14.4">
      <c r="A264" s="175" t="s">
        <v>248</v>
      </c>
      <c r="B264" s="150"/>
      <c r="K264" s="150">
        <f>K248</f>
        <v>-796.97317125585778</v>
      </c>
    </row>
    <row r="265" spans="1:11" ht="14.4">
      <c r="A265" s="175" t="s">
        <v>249</v>
      </c>
      <c r="B265" s="150"/>
      <c r="K265" s="150">
        <f>K249</f>
        <v>-2348.0360527856596</v>
      </c>
    </row>
    <row r="266" spans="1:11" ht="14.4">
      <c r="A266" s="175" t="s">
        <v>250</v>
      </c>
      <c r="B266" s="150"/>
      <c r="K266" s="150">
        <f>K250-K255</f>
        <v>-234.66671339331401</v>
      </c>
    </row>
    <row r="267" spans="1:11" ht="14.4">
      <c r="A267" s="170" t="s">
        <v>251</v>
      </c>
      <c r="B267" s="156"/>
      <c r="K267" s="156">
        <f>K258+SUM(K261:K266)</f>
        <v>-22240.752713619702</v>
      </c>
    </row>
    <row r="268" spans="1:11" ht="14.4">
      <c r="A268" s="177" t="s">
        <v>5</v>
      </c>
      <c r="B268" s="172"/>
      <c r="K268" s="172">
        <f>K267/K224</f>
        <v>8.0125140647493662</v>
      </c>
    </row>
    <row r="269" spans="1:11" ht="14.4">
      <c r="A269" s="178"/>
      <c r="B269" s="160"/>
      <c r="K269" s="160"/>
    </row>
    <row r="270" spans="1:11" ht="14.4">
      <c r="A270" s="175" t="s">
        <v>252</v>
      </c>
      <c r="B270" s="150"/>
      <c r="K270" s="150">
        <f>-K247</f>
        <v>1141.4952496484957</v>
      </c>
    </row>
    <row r="271" spans="1:11" ht="14.4">
      <c r="A271" s="175" t="s">
        <v>253</v>
      </c>
      <c r="B271" s="150"/>
      <c r="K271" s="150">
        <f>K216+K218-K222+K247</f>
        <v>-1217.2942009670051</v>
      </c>
    </row>
    <row r="272" spans="1:11" ht="14.4">
      <c r="A272" s="170" t="s">
        <v>254</v>
      </c>
      <c r="B272" s="156"/>
      <c r="K272" s="156">
        <f>K267+SUM(K270:K271)</f>
        <v>-22316.551664938212</v>
      </c>
    </row>
    <row r="273" spans="1:11" ht="14.4">
      <c r="A273" s="177" t="s">
        <v>255</v>
      </c>
      <c r="B273" s="172"/>
      <c r="K273" s="172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K59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09375" defaultRowHeight="14.4" outlineLevelCol="1"/>
  <cols>
    <col min="1" max="1" width="41.5546875" style="5" bestFit="1" customWidth="1"/>
    <col min="2" max="2" width="32.88671875" style="5" bestFit="1" customWidth="1"/>
    <col min="3" max="3" width="11.44140625" style="5" hidden="1" customWidth="1"/>
    <col min="4" max="4" width="10.6640625" style="5" hidden="1" customWidth="1"/>
    <col min="5" max="5" width="11.6640625" style="5" hidden="1" customWidth="1"/>
    <col min="6" max="6" width="11" style="5" hidden="1" customWidth="1"/>
    <col min="7" max="7" width="11.109375" style="5" hidden="1" customWidth="1"/>
    <col min="8" max="8" width="11.44140625" style="5" hidden="1" customWidth="1"/>
    <col min="9" max="10" width="11.109375" style="5" hidden="1" customWidth="1"/>
    <col min="11" max="11" width="11.5546875" style="5" hidden="1" customWidth="1"/>
    <col min="12" max="13" width="11.109375" style="5" hidden="1" customWidth="1"/>
    <col min="14" max="14" width="9.5546875" style="35" bestFit="1" customWidth="1" outlineLevel="1"/>
    <col min="15" max="15" width="8.6640625" style="35" bestFit="1" customWidth="1" outlineLevel="1"/>
    <col min="16" max="16" width="10.109375" style="75" bestFit="1" customWidth="1" outlineLevel="1"/>
    <col min="17" max="17" width="10.33203125" style="75" bestFit="1" customWidth="1" outlineLevel="1"/>
    <col min="18" max="18" width="8.88671875" style="3" hidden="1" customWidth="1" outlineLevel="1"/>
    <col min="19" max="19" width="8.33203125" hidden="1" customWidth="1" outlineLevel="1"/>
    <col min="20" max="20" width="11" style="75" hidden="1" customWidth="1" outlineLevel="1"/>
    <col min="21" max="21" width="10.5546875" style="76" hidden="1" customWidth="1" outlineLevel="1"/>
    <col min="22" max="22" width="8.6640625" style="3" hidden="1" customWidth="1" outlineLevel="1" collapsed="1"/>
    <col min="23" max="23" width="8.88671875" hidden="1" customWidth="1" outlineLevel="1"/>
    <col min="24" max="24" width="9.6640625" style="75" hidden="1" customWidth="1" outlineLevel="1"/>
    <col min="25" max="25" width="9.33203125" style="76" hidden="1" customWidth="1" outlineLevel="1"/>
    <col min="26" max="27" width="9.109375" style="76" hidden="1" customWidth="1"/>
    <col min="28" max="28" width="10.109375" style="75" hidden="1" customWidth="1"/>
    <col min="29" max="29" width="10" style="76" hidden="1" customWidth="1"/>
    <col min="30" max="30" width="9.5546875" style="76" hidden="1" customWidth="1"/>
    <col min="31" max="31" width="9.33203125" style="76" hidden="1" customWidth="1"/>
    <col min="32" max="32" width="11" style="75" hidden="1" customWidth="1"/>
    <col min="33" max="33" width="10.5546875" style="76" hidden="1" customWidth="1"/>
    <col min="34" max="36" width="9.109375" style="3"/>
    <col min="37" max="37" width="11.44140625" style="3" bestFit="1" customWidth="1"/>
    <col min="38" max="16384" width="9.109375" style="3"/>
  </cols>
  <sheetData>
    <row r="1" spans="1:37" ht="91.5" customHeight="1" thickBot="1">
      <c r="S1" s="357"/>
      <c r="W1" s="357"/>
    </row>
    <row r="2" spans="1:37" customFormat="1" ht="15.75" customHeight="1" thickBot="1">
      <c r="A2" s="418" t="s">
        <v>319</v>
      </c>
      <c r="B2" s="419"/>
      <c r="C2" s="457">
        <v>2011</v>
      </c>
      <c r="D2" s="457">
        <v>2012</v>
      </c>
      <c r="E2" s="457">
        <v>2013</v>
      </c>
      <c r="F2" s="457">
        <v>2014</v>
      </c>
      <c r="G2" s="457">
        <v>2015</v>
      </c>
      <c r="H2" s="457">
        <v>2016</v>
      </c>
      <c r="I2" s="457">
        <v>2017</v>
      </c>
      <c r="J2" s="457">
        <v>2018</v>
      </c>
      <c r="K2" s="457">
        <v>2019</v>
      </c>
      <c r="L2" s="457">
        <v>2020</v>
      </c>
      <c r="M2" s="457">
        <v>2021</v>
      </c>
      <c r="N2" s="1" t="s">
        <v>460</v>
      </c>
      <c r="O2" s="1" t="s">
        <v>468</v>
      </c>
      <c r="P2" s="97" t="s">
        <v>0</v>
      </c>
      <c r="Q2" s="98" t="s">
        <v>1</v>
      </c>
      <c r="R2" s="1" t="s">
        <v>461</v>
      </c>
      <c r="S2" s="1" t="s">
        <v>469</v>
      </c>
      <c r="T2" s="97" t="s">
        <v>0</v>
      </c>
      <c r="U2" s="98" t="s">
        <v>1</v>
      </c>
      <c r="V2" s="1" t="s">
        <v>462</v>
      </c>
      <c r="W2" s="1" t="s">
        <v>470</v>
      </c>
      <c r="X2" s="97" t="s">
        <v>0</v>
      </c>
      <c r="Y2" s="98" t="s">
        <v>1</v>
      </c>
      <c r="Z2" s="1" t="s">
        <v>463</v>
      </c>
      <c r="AA2" s="1" t="s">
        <v>471</v>
      </c>
      <c r="AB2" s="97" t="s">
        <v>0</v>
      </c>
      <c r="AC2" s="98" t="s">
        <v>1</v>
      </c>
      <c r="AD2" s="1">
        <v>2021</v>
      </c>
      <c r="AE2" s="6">
        <v>2022</v>
      </c>
      <c r="AF2" s="97" t="s">
        <v>0</v>
      </c>
      <c r="AG2" s="98" t="s">
        <v>1</v>
      </c>
    </row>
    <row r="3" spans="1:37" customFormat="1" ht="15.75" customHeight="1">
      <c r="A3" s="420" t="s">
        <v>472</v>
      </c>
      <c r="B3" s="404"/>
      <c r="C3" s="458">
        <v>319857</v>
      </c>
      <c r="D3" s="459">
        <v>377133</v>
      </c>
      <c r="E3" s="459">
        <v>522864.00000000006</v>
      </c>
      <c r="F3" s="460">
        <v>501556</v>
      </c>
      <c r="G3" s="460">
        <v>491434</v>
      </c>
      <c r="H3" s="461">
        <v>443621.99999999994</v>
      </c>
      <c r="I3" s="460">
        <v>412361</v>
      </c>
      <c r="J3" s="460">
        <v>363499.73664000002</v>
      </c>
      <c r="K3" s="460">
        <v>378366.44312000007</v>
      </c>
      <c r="L3" s="460">
        <v>285105.17800999974</v>
      </c>
      <c r="M3" s="483">
        <v>350920.30887999985</v>
      </c>
      <c r="N3" s="26">
        <v>48775.482829999848</v>
      </c>
      <c r="O3" s="27">
        <f>AE3</f>
        <v>70734.743099999992</v>
      </c>
      <c r="P3" s="65">
        <f>O3/N3-1</f>
        <v>0.45021102808015434</v>
      </c>
      <c r="Q3" s="66">
        <f>O3-N3</f>
        <v>21959.260270000144</v>
      </c>
      <c r="R3" s="27">
        <v>84781.498420000047</v>
      </c>
      <c r="S3" s="27">
        <v>84781.498420000047</v>
      </c>
      <c r="T3" s="65">
        <f>S3/R3-1</f>
        <v>0</v>
      </c>
      <c r="U3" s="104">
        <f>S3-R3</f>
        <v>0</v>
      </c>
      <c r="V3" s="27">
        <v>89585.062140000111</v>
      </c>
      <c r="W3" s="27">
        <v>89585.062140000111</v>
      </c>
      <c r="X3" s="65">
        <f>IFERROR(W3/V3-1,0)</f>
        <v>0</v>
      </c>
      <c r="Y3" s="104">
        <f>W3-V3</f>
        <v>0</v>
      </c>
      <c r="Z3" s="27">
        <v>-174366.56056000016</v>
      </c>
      <c r="AA3" s="27">
        <f>AE3-W3-S3-O3</f>
        <v>-174366.56056000016</v>
      </c>
      <c r="AB3" s="65">
        <f>AA3/Z3-1</f>
        <v>0</v>
      </c>
      <c r="AC3" s="104">
        <f>AA3-Z3</f>
        <v>0</v>
      </c>
      <c r="AD3" s="27">
        <f>N3</f>
        <v>48775.482829999848</v>
      </c>
      <c r="AE3" s="27">
        <v>70734.743099999992</v>
      </c>
      <c r="AF3" s="65">
        <f>IFERROR(AE3/AD3-1,0)</f>
        <v>0.45021102808015434</v>
      </c>
      <c r="AG3" s="104">
        <f>AE3-AD3</f>
        <v>21959.260270000144</v>
      </c>
    </row>
    <row r="4" spans="1:37" customFormat="1" ht="15.75" customHeight="1">
      <c r="A4" s="422" t="s">
        <v>473</v>
      </c>
      <c r="B4" s="422"/>
      <c r="C4" s="462">
        <v>-11633</v>
      </c>
      <c r="D4" s="462">
        <v>-9958.2513770875557</v>
      </c>
      <c r="E4" s="462">
        <v>-14437.999999999904</v>
      </c>
      <c r="F4" s="463">
        <v>-17795</v>
      </c>
      <c r="G4" s="463">
        <v>-22046</v>
      </c>
      <c r="H4" s="462">
        <v>-19637.999999999996</v>
      </c>
      <c r="I4" s="463">
        <v>-12442.999999999998</v>
      </c>
      <c r="J4" s="463">
        <v>-7305</v>
      </c>
      <c r="K4" s="463">
        <v>-7481.9999999999991</v>
      </c>
      <c r="L4" s="463">
        <v>-4070.1846299999902</v>
      </c>
      <c r="M4" s="463">
        <v>-5877.2233299999998</v>
      </c>
      <c r="N4" s="27">
        <v>-751.04537000000005</v>
      </c>
      <c r="O4" s="27">
        <f t="shared" ref="O4:O6" si="0">AE4</f>
        <v>-2169.4997400000002</v>
      </c>
      <c r="P4" s="67">
        <f>O4/N4-1</f>
        <v>1.8886400564589061</v>
      </c>
      <c r="Q4" s="68">
        <f>O4-N4</f>
        <v>-1418.4543700000002</v>
      </c>
      <c r="R4" s="27">
        <v>-1073.3506699999998</v>
      </c>
      <c r="S4" s="27">
        <v>-1073.3506699999998</v>
      </c>
      <c r="T4" s="67">
        <f>S4/R4-1</f>
        <v>0</v>
      </c>
      <c r="U4" s="103">
        <f>S4-R4</f>
        <v>0</v>
      </c>
      <c r="V4" s="27">
        <v>-1294.9859100000003</v>
      </c>
      <c r="W4" s="27">
        <v>-1294.9859100000003</v>
      </c>
      <c r="X4" s="67">
        <f t="shared" ref="X4:X6" si="1">IFERROR(W4/V4-1,0)</f>
        <v>0</v>
      </c>
      <c r="Y4" s="103">
        <f>W4-V4</f>
        <v>0</v>
      </c>
      <c r="Z4" s="27">
        <v>-3508.8867499999997</v>
      </c>
      <c r="AA4" s="27">
        <f t="shared" ref="AA4:AA6" si="2">AE4-W4-S4-O4</f>
        <v>2368.3365800000001</v>
      </c>
      <c r="AB4" s="67">
        <f>AA4/Z4-1</f>
        <v>-1.6749538382793348</v>
      </c>
      <c r="AC4" s="103">
        <f>AA4-Z4</f>
        <v>5877.2233299999998</v>
      </c>
      <c r="AD4" s="27">
        <v>-751.04537000000005</v>
      </c>
      <c r="AE4" s="27">
        <v>-2169.4997400000002</v>
      </c>
      <c r="AF4" s="67">
        <f t="shared" ref="AF4:AF6" si="3">IFERROR(AE4/AD4-1,0)</f>
        <v>1.8886400564589061</v>
      </c>
      <c r="AG4" s="103">
        <f>AE4-AD4</f>
        <v>-1418.4543700000002</v>
      </c>
    </row>
    <row r="5" spans="1:37" customFormat="1" ht="15.75" customHeight="1">
      <c r="A5" s="421" t="s">
        <v>474</v>
      </c>
      <c r="B5" s="422"/>
      <c r="C5" s="461">
        <v>-47935</v>
      </c>
      <c r="D5" s="461">
        <v>-55935.611050000007</v>
      </c>
      <c r="E5" s="461">
        <v>-76839</v>
      </c>
      <c r="F5" s="460">
        <v>-72963</v>
      </c>
      <c r="G5" s="460">
        <v>-75586</v>
      </c>
      <c r="H5" s="461">
        <v>-65951.316800000001</v>
      </c>
      <c r="I5" s="460">
        <v>-61605</v>
      </c>
      <c r="J5" s="460">
        <v>-51514.476329999998</v>
      </c>
      <c r="K5" s="460">
        <v>-55731.880619999996</v>
      </c>
      <c r="L5" s="460">
        <v>-36955.979920000027</v>
      </c>
      <c r="M5" s="460">
        <v>-31144.227900000031</v>
      </c>
      <c r="N5" s="27">
        <v>-4669.5709899999893</v>
      </c>
      <c r="O5" s="27">
        <f t="shared" si="0"/>
        <v>-6482.3630000000012</v>
      </c>
      <c r="P5" s="67">
        <f>O5/N5-1</f>
        <v>0.38821382389991599</v>
      </c>
      <c r="Q5" s="103">
        <f>O5-N5</f>
        <v>-1812.7920100000119</v>
      </c>
      <c r="R5" s="27">
        <v>-7272.6591400000016</v>
      </c>
      <c r="S5" s="27">
        <v>-7272.6591400000016</v>
      </c>
      <c r="T5" s="72">
        <f>S5/R5-1</f>
        <v>0</v>
      </c>
      <c r="U5" s="103">
        <f>S5-R5</f>
        <v>0</v>
      </c>
      <c r="V5" s="27">
        <v>-7858.6829700000035</v>
      </c>
      <c r="W5" s="27">
        <v>-7858.6829700000035</v>
      </c>
      <c r="X5" s="72">
        <f t="shared" si="1"/>
        <v>0</v>
      </c>
      <c r="Y5" s="103">
        <f>W5-V5</f>
        <v>0</v>
      </c>
      <c r="Z5" s="27">
        <v>-16012.885790000024</v>
      </c>
      <c r="AA5" s="27">
        <f t="shared" si="2"/>
        <v>15131.342110000005</v>
      </c>
      <c r="AB5" s="72">
        <f>AA5/Z5-1</f>
        <v>-1.944947856897191</v>
      </c>
      <c r="AC5" s="103">
        <f>AA5-Z5</f>
        <v>31144.227900000027</v>
      </c>
      <c r="AD5" s="27">
        <v>-4669.5709899999893</v>
      </c>
      <c r="AE5" s="27">
        <v>-6482.3630000000012</v>
      </c>
      <c r="AF5" s="72">
        <f t="shared" si="3"/>
        <v>0.38821382389991599</v>
      </c>
      <c r="AG5" s="103">
        <f>AE5-AD5</f>
        <v>-1812.7920100000119</v>
      </c>
    </row>
    <row r="6" spans="1:37" customFormat="1" ht="15.75" customHeight="1">
      <c r="A6" s="422" t="s">
        <v>475</v>
      </c>
      <c r="B6" s="422"/>
      <c r="C6" s="462">
        <v>1741</v>
      </c>
      <c r="D6" s="464">
        <v>1476</v>
      </c>
      <c r="E6" s="464">
        <v>2108.8207414252761</v>
      </c>
      <c r="F6" s="463">
        <v>2635</v>
      </c>
      <c r="G6" s="463">
        <v>3491</v>
      </c>
      <c r="H6" s="464">
        <v>2840.2909403039739</v>
      </c>
      <c r="I6" s="463">
        <v>1763</v>
      </c>
      <c r="J6" s="463">
        <v>1015.9153952451331</v>
      </c>
      <c r="K6" s="463">
        <v>1073.7133717070067</v>
      </c>
      <c r="L6" s="463">
        <v>528.36904886796685</v>
      </c>
      <c r="M6" s="463">
        <v>502.82026416959491</v>
      </c>
      <c r="N6" s="28">
        <v>69.376211834019884</v>
      </c>
      <c r="O6" s="27">
        <f t="shared" si="0"/>
        <v>190</v>
      </c>
      <c r="P6" s="67">
        <f>O6/N6-1</f>
        <v>1.7386908996208703</v>
      </c>
      <c r="Q6" s="103">
        <f>O6-N6</f>
        <v>120.62378816598012</v>
      </c>
      <c r="R6" s="27">
        <v>90.073215306469038</v>
      </c>
      <c r="S6" s="27">
        <v>90.073215306469038</v>
      </c>
      <c r="T6" s="67">
        <f>S6/R6-1</f>
        <v>0</v>
      </c>
      <c r="U6" s="103">
        <f>S6-R6</f>
        <v>0</v>
      </c>
      <c r="V6" s="27">
        <v>110.7347326254034</v>
      </c>
      <c r="W6" s="27">
        <v>110.7347326254034</v>
      </c>
      <c r="X6" s="67">
        <f t="shared" si="1"/>
        <v>0</v>
      </c>
      <c r="Y6" s="103">
        <f>W6-V6</f>
        <v>0</v>
      </c>
      <c r="Z6" s="27">
        <v>302.01231623772247</v>
      </c>
      <c r="AA6" s="27">
        <f t="shared" si="2"/>
        <v>-200.80794793187243</v>
      </c>
      <c r="AB6" s="67">
        <f>AA6/Z6-1</f>
        <v>-1.6648998637983055</v>
      </c>
      <c r="AC6" s="103">
        <f>AA6-Z6</f>
        <v>-502.82026416959491</v>
      </c>
      <c r="AD6" s="28">
        <v>69.376211834019884</v>
      </c>
      <c r="AE6" s="27">
        <v>190</v>
      </c>
      <c r="AF6" s="67">
        <f t="shared" si="3"/>
        <v>1.7386908996208703</v>
      </c>
      <c r="AG6" s="103">
        <f>AE6-AD6</f>
        <v>120.62378816598012</v>
      </c>
    </row>
    <row r="7" spans="1:37" customFormat="1" ht="15.75" customHeight="1">
      <c r="A7" s="421"/>
      <c r="B7" s="422"/>
      <c r="C7" s="465"/>
      <c r="D7" s="464"/>
      <c r="E7" s="464"/>
      <c r="F7" s="466"/>
      <c r="G7" s="466"/>
      <c r="H7" s="464"/>
      <c r="I7" s="466"/>
      <c r="J7" s="466"/>
      <c r="K7" s="30"/>
      <c r="L7" s="30"/>
      <c r="M7" s="30"/>
      <c r="N7" s="28"/>
      <c r="O7" s="30"/>
      <c r="P7" s="69"/>
      <c r="Q7" s="68"/>
      <c r="R7" s="8"/>
      <c r="S7" s="27"/>
      <c r="T7" s="69"/>
      <c r="U7" s="68"/>
      <c r="V7" s="28"/>
      <c r="W7" s="8"/>
      <c r="X7" s="69"/>
      <c r="Y7" s="68"/>
      <c r="Z7" s="8"/>
      <c r="AA7" s="8"/>
      <c r="AB7" s="69"/>
      <c r="AC7" s="68"/>
      <c r="AD7" s="28"/>
      <c r="AE7" s="28"/>
      <c r="AF7" s="69"/>
      <c r="AG7" s="68"/>
    </row>
    <row r="8" spans="1:37" customFormat="1" ht="15.75" customHeight="1">
      <c r="A8" s="405" t="s">
        <v>476</v>
      </c>
      <c r="B8" s="406"/>
      <c r="C8" s="467">
        <f>SUM(C3:C6)</f>
        <v>262030</v>
      </c>
      <c r="D8" s="467">
        <f t="shared" ref="D8:L8" si="4">SUM(D3:D6)</f>
        <v>312715.13757291244</v>
      </c>
      <c r="E8" s="467">
        <f t="shared" si="4"/>
        <v>433695.82074142544</v>
      </c>
      <c r="F8" s="467">
        <f t="shared" si="4"/>
        <v>413433</v>
      </c>
      <c r="G8" s="467">
        <f t="shared" si="4"/>
        <v>397293</v>
      </c>
      <c r="H8" s="467">
        <f t="shared" si="4"/>
        <v>360872.97414030397</v>
      </c>
      <c r="I8" s="467">
        <f t="shared" si="4"/>
        <v>340076</v>
      </c>
      <c r="J8" s="467">
        <f t="shared" si="4"/>
        <v>305696.17570524517</v>
      </c>
      <c r="K8" s="467">
        <f t="shared" si="4"/>
        <v>316226.27587170707</v>
      </c>
      <c r="L8" s="467">
        <f t="shared" si="4"/>
        <v>244607.38250886771</v>
      </c>
      <c r="M8" s="467">
        <v>314401.67791416938</v>
      </c>
      <c r="N8" s="9">
        <v>43424.242681833879</v>
      </c>
      <c r="O8" s="9">
        <f>AE8</f>
        <v>62273</v>
      </c>
      <c r="P8" s="70">
        <f>O8/N8-1</f>
        <v>0.43406070328663016</v>
      </c>
      <c r="Q8" s="71">
        <f>O8-N8</f>
        <v>18848.757318166121</v>
      </c>
      <c r="R8" s="9">
        <v>76525.757318166114</v>
      </c>
      <c r="S8" s="9">
        <v>76525.757318166114</v>
      </c>
      <c r="T8" s="70">
        <f>IFERROR(S8/R8-1,0)</f>
        <v>0</v>
      </c>
      <c r="U8" s="102">
        <f>S8-R8</f>
        <v>0</v>
      </c>
      <c r="V8" s="9">
        <v>80542.127992625508</v>
      </c>
      <c r="W8" s="9">
        <v>80542.127992625508</v>
      </c>
      <c r="X8" s="70">
        <f>IFERROR(W8/V8-1,0)</f>
        <v>0</v>
      </c>
      <c r="Y8" s="102">
        <f>W8-V8</f>
        <v>0</v>
      </c>
      <c r="Z8" s="9">
        <v>157333.98809623739</v>
      </c>
      <c r="AA8" s="9">
        <f t="shared" ref="AA8" si="5">SUM(AA3:AA6)</f>
        <v>-157067.68981793203</v>
      </c>
      <c r="AB8" s="70">
        <f>AA8/Z8-1</f>
        <v>-1.998307433241046</v>
      </c>
      <c r="AC8" s="102">
        <f>AA8-Z8</f>
        <v>-314401.67791416938</v>
      </c>
      <c r="AD8" s="9">
        <f>SUM(AD3:AD6)</f>
        <v>43424.242681833879</v>
      </c>
      <c r="AE8" s="9">
        <v>62273</v>
      </c>
      <c r="AF8" s="70">
        <f>IFERROR(AE8/AD8-1,0)</f>
        <v>0.43406070328663016</v>
      </c>
      <c r="AG8" s="102">
        <f>AE8-AD8</f>
        <v>18848.757318166121</v>
      </c>
    </row>
    <row r="9" spans="1:37" customFormat="1" ht="15.75" customHeight="1">
      <c r="A9" s="421"/>
      <c r="B9" s="422"/>
      <c r="C9" s="464"/>
      <c r="D9" s="464"/>
      <c r="E9" s="464"/>
      <c r="F9" s="466"/>
      <c r="G9" s="466"/>
      <c r="H9" s="464"/>
      <c r="I9" s="463"/>
      <c r="J9" s="463"/>
      <c r="K9" s="463"/>
      <c r="L9" s="463"/>
      <c r="M9" s="463">
        <v>-149226</v>
      </c>
      <c r="N9" s="28">
        <v>-22184</v>
      </c>
      <c r="O9" s="27">
        <f>AE9</f>
        <v>-30323</v>
      </c>
      <c r="P9" s="67">
        <f>O9/N9-1</f>
        <v>0.36688604399567248</v>
      </c>
      <c r="Q9" s="103">
        <f>O9-N9</f>
        <v>-8139</v>
      </c>
      <c r="R9" s="435">
        <v>-34116</v>
      </c>
      <c r="S9" s="27">
        <v>-34116</v>
      </c>
      <c r="T9" s="69"/>
      <c r="U9" s="68"/>
      <c r="V9" s="435">
        <v>-38174</v>
      </c>
      <c r="W9" s="27">
        <v>-38174</v>
      </c>
      <c r="X9" s="69"/>
      <c r="Y9" s="68"/>
      <c r="Z9" s="27">
        <v>-37734</v>
      </c>
      <c r="AA9" s="27">
        <f t="shared" ref="AA9" si="6">AE9-W9-S9-O9</f>
        <v>72290</v>
      </c>
      <c r="AB9" s="69"/>
      <c r="AC9" s="68">
        <f>AA9-Z9</f>
        <v>110024</v>
      </c>
      <c r="AD9" s="27">
        <v>-22184</v>
      </c>
      <c r="AE9" s="27">
        <v>-30323</v>
      </c>
      <c r="AF9" s="69"/>
      <c r="AG9" s="68"/>
    </row>
    <row r="10" spans="1:37" customFormat="1" ht="15.75" customHeight="1">
      <c r="A10" s="405" t="s">
        <v>2</v>
      </c>
      <c r="B10" s="406"/>
      <c r="C10" s="468">
        <v>166166</v>
      </c>
      <c r="D10" s="468">
        <v>187928</v>
      </c>
      <c r="E10" s="468">
        <v>250774</v>
      </c>
      <c r="F10" s="9">
        <v>229802</v>
      </c>
      <c r="G10" s="9">
        <v>206778</v>
      </c>
      <c r="H10" s="468">
        <v>169579.97414030397</v>
      </c>
      <c r="I10" s="9">
        <v>155073</v>
      </c>
      <c r="J10" s="9">
        <v>146658.17570524517</v>
      </c>
      <c r="K10" s="9">
        <v>109243</v>
      </c>
      <c r="L10" s="9">
        <v>112399</v>
      </c>
      <c r="M10" s="9">
        <v>165175.67791416938</v>
      </c>
      <c r="N10" s="9">
        <f>SUM(N8:N9)</f>
        <v>21240.242681833879</v>
      </c>
      <c r="O10" s="9">
        <f>SUM(O8:O9)</f>
        <v>31950</v>
      </c>
      <c r="P10" s="70">
        <f>O10/N10-1</f>
        <v>0.50422010137039752</v>
      </c>
      <c r="Q10" s="102">
        <f>O10-N10</f>
        <v>10709.757318166121</v>
      </c>
      <c r="R10" s="9">
        <v>42409.757318166121</v>
      </c>
      <c r="S10" s="9">
        <v>42409.757318166121</v>
      </c>
      <c r="T10" s="70">
        <f>S10/R10-1</f>
        <v>0</v>
      </c>
      <c r="U10" s="102">
        <f>S10-R10</f>
        <v>0</v>
      </c>
      <c r="V10" s="9">
        <v>42368.127992625508</v>
      </c>
      <c r="W10" s="9">
        <v>42368.127992625508</v>
      </c>
      <c r="X10" s="70">
        <f>IFERROR(W10/V10-1,0)</f>
        <v>0</v>
      </c>
      <c r="Y10" s="102">
        <f>W10-V10</f>
        <v>0</v>
      </c>
      <c r="Z10" s="9">
        <v>80397.988096237386</v>
      </c>
      <c r="AA10" s="9">
        <f t="shared" ref="AA10" si="7">SUM(AA8:AA9)</f>
        <v>-84777.689817932027</v>
      </c>
      <c r="AB10" s="70">
        <f>AA10/Z10-1</f>
        <v>-2.0544752651826572</v>
      </c>
      <c r="AC10" s="102">
        <f>AA10-Z10</f>
        <v>-165175.67791416941</v>
      </c>
      <c r="AD10" s="9">
        <f>SUM(AD8:AD9)</f>
        <v>21240.242681833879</v>
      </c>
      <c r="AE10" s="9">
        <f>SUM(AE8:AE9)</f>
        <v>31950</v>
      </c>
      <c r="AF10" s="70">
        <f>IFERROR(AE10/AD10-1,0)</f>
        <v>0.50422010137039752</v>
      </c>
      <c r="AG10" s="102">
        <f>AE10-AD10</f>
        <v>10709.757318166121</v>
      </c>
    </row>
    <row r="11" spans="1:37" customFormat="1" ht="15.75" customHeight="1">
      <c r="A11" s="407" t="s">
        <v>4</v>
      </c>
      <c r="B11" s="407"/>
      <c r="C11" s="10">
        <f>C10/C8</f>
        <v>0.63414876159218414</v>
      </c>
      <c r="D11" s="10">
        <f t="shared" ref="D11:L11" si="8">D10/D8</f>
        <v>0.60095587779527571</v>
      </c>
      <c r="E11" s="10">
        <f t="shared" si="8"/>
        <v>0.57822553966807633</v>
      </c>
      <c r="F11" s="10">
        <f t="shared" si="8"/>
        <v>0.55583855183306607</v>
      </c>
      <c r="G11" s="10">
        <f t="shared" si="8"/>
        <v>0.52046726219691763</v>
      </c>
      <c r="H11" s="10">
        <f t="shared" si="8"/>
        <v>0.46991597124802392</v>
      </c>
      <c r="I11" s="10">
        <f t="shared" si="8"/>
        <v>0.4559951305002411</v>
      </c>
      <c r="J11" s="10">
        <f t="shared" si="8"/>
        <v>0.47975142432483103</v>
      </c>
      <c r="K11" s="10">
        <f t="shared" si="8"/>
        <v>0.3454583263166906</v>
      </c>
      <c r="L11" s="10">
        <f t="shared" si="8"/>
        <v>0.45950779918069407</v>
      </c>
      <c r="M11" s="10">
        <v>0.52536512848783778</v>
      </c>
      <c r="N11" s="10">
        <f>N10/N8</f>
        <v>0.48913328984133403</v>
      </c>
      <c r="O11" s="10">
        <f>O10/O8</f>
        <v>0.51306344643746082</v>
      </c>
      <c r="P11" s="10"/>
      <c r="Q11" s="63">
        <f>(O11-N11)*100</f>
        <v>2.3930156596126793</v>
      </c>
      <c r="R11" s="10">
        <v>0.55418931879160449</v>
      </c>
      <c r="S11" s="10">
        <v>0.55418931879160449</v>
      </c>
      <c r="T11" s="10"/>
      <c r="U11" s="63">
        <f>(S11-R11)*100</f>
        <v>0</v>
      </c>
      <c r="V11" s="10">
        <v>0.52603685858045324</v>
      </c>
      <c r="W11" s="10">
        <v>0.52603685858045324</v>
      </c>
      <c r="X11" s="10"/>
      <c r="Y11" s="63">
        <f>(W11-V11)*100</f>
        <v>0</v>
      </c>
      <c r="Z11" s="10">
        <v>0.51100203502792985</v>
      </c>
      <c r="AA11" s="10">
        <f t="shared" ref="AA11" si="9">AA10/AA8</f>
        <v>0.53975257365918916</v>
      </c>
      <c r="AB11" s="10"/>
      <c r="AC11" s="63">
        <f>(AA11-Z11)*100</f>
        <v>2.8750538631259315</v>
      </c>
      <c r="AD11" s="10">
        <f>AD10/AD8</f>
        <v>0.48913328984133403</v>
      </c>
      <c r="AE11" s="10">
        <f>AE10/AE8</f>
        <v>0.51306344643746082</v>
      </c>
      <c r="AF11" s="10"/>
      <c r="AG11" s="63">
        <f>(AE11-AD11)*100</f>
        <v>2.3930156596126793</v>
      </c>
    </row>
    <row r="12" spans="1:37" customFormat="1" ht="15.75" customHeight="1">
      <c r="A12" s="421"/>
      <c r="B12" s="407"/>
      <c r="C12" s="464"/>
      <c r="D12" s="469"/>
      <c r="E12" s="469"/>
      <c r="F12" s="470"/>
      <c r="G12" s="51"/>
      <c r="H12" s="469"/>
      <c r="I12" s="470"/>
      <c r="J12" s="470"/>
      <c r="K12" s="469"/>
      <c r="L12" s="469"/>
      <c r="M12" s="469"/>
      <c r="N12" s="401"/>
      <c r="O12" s="401"/>
      <c r="P12" s="67"/>
      <c r="Q12" s="12"/>
      <c r="R12" s="401"/>
      <c r="S12" s="401"/>
      <c r="T12" s="69"/>
      <c r="U12" s="12"/>
      <c r="V12" s="11"/>
      <c r="W12" s="11"/>
      <c r="X12" s="69">
        <f>W12-V12</f>
        <v>0</v>
      </c>
      <c r="Y12" s="12"/>
      <c r="Z12" s="51"/>
      <c r="AA12" s="51"/>
      <c r="AC12" s="12"/>
      <c r="AD12" s="401"/>
      <c r="AE12" s="401"/>
      <c r="AF12" s="69"/>
      <c r="AG12" s="12"/>
      <c r="AH12" s="113"/>
      <c r="AI12" s="113"/>
      <c r="AJ12" s="113"/>
      <c r="AK12" s="113"/>
    </row>
    <row r="13" spans="1:37" customFormat="1" ht="15.75" customHeight="1">
      <c r="A13" s="405" t="s">
        <v>52</v>
      </c>
      <c r="B13" s="406"/>
      <c r="C13" s="468">
        <v>-69788</v>
      </c>
      <c r="D13" s="468">
        <v>-87861</v>
      </c>
      <c r="E13" s="468">
        <v>-132846</v>
      </c>
      <c r="F13" s="9">
        <v>-118936</v>
      </c>
      <c r="G13" s="9">
        <v>-129581</v>
      </c>
      <c r="H13" s="468">
        <v>-124091</v>
      </c>
      <c r="I13" s="9">
        <v>-132676</v>
      </c>
      <c r="J13" s="9">
        <v>-95945</v>
      </c>
      <c r="K13" s="9">
        <v>-103839</v>
      </c>
      <c r="L13" s="9">
        <v>-63578</v>
      </c>
      <c r="M13" s="9">
        <v>-69425</v>
      </c>
      <c r="N13" s="9">
        <v>-13487</v>
      </c>
      <c r="O13" s="9">
        <f>AE13</f>
        <v>-16603</v>
      </c>
      <c r="P13" s="70">
        <f>O13/N13-1</f>
        <v>0.23103729517312965</v>
      </c>
      <c r="Q13" s="102">
        <f>O13-N13</f>
        <v>-3116</v>
      </c>
      <c r="R13" s="9">
        <v>-15975</v>
      </c>
      <c r="S13" s="9">
        <v>-15975</v>
      </c>
      <c r="T13" s="70">
        <f>S13/R13-1</f>
        <v>0</v>
      </c>
      <c r="U13" s="102">
        <f>S13-R13</f>
        <v>0</v>
      </c>
      <c r="V13" s="9">
        <v>-17440</v>
      </c>
      <c r="W13" s="9">
        <v>-17440</v>
      </c>
      <c r="X13" s="70">
        <f>IFERROR(W13/V13-1,0)</f>
        <v>0</v>
      </c>
      <c r="Y13" s="102">
        <f>W13-V13</f>
        <v>0</v>
      </c>
      <c r="Z13" s="9">
        <v>-16676</v>
      </c>
      <c r="AA13" s="9">
        <f t="shared" ref="AA13:AA14" si="10">AE13-W13-S13-O13</f>
        <v>33415</v>
      </c>
      <c r="AB13" s="70">
        <f>AA13/Z13-1</f>
        <v>-3.0037778843847445</v>
      </c>
      <c r="AC13" s="102">
        <f>AA13-Z13</f>
        <v>50091</v>
      </c>
      <c r="AD13" s="9">
        <v>-13487</v>
      </c>
      <c r="AE13" s="9">
        <v>-16603</v>
      </c>
      <c r="AF13" s="70">
        <f>IFERROR(AE13/AD13-1,0)</f>
        <v>0.23103729517312965</v>
      </c>
      <c r="AG13" s="102">
        <f>AE13-AD13</f>
        <v>-3116</v>
      </c>
      <c r="AH13" s="486"/>
      <c r="AI13" s="486"/>
      <c r="AJ13" s="488"/>
      <c r="AK13" s="487"/>
    </row>
    <row r="14" spans="1:37" s="357" customFormat="1" ht="15.75" customHeight="1">
      <c r="A14" s="405" t="s">
        <v>477</v>
      </c>
      <c r="B14" s="406"/>
      <c r="C14" s="468"/>
      <c r="D14" s="468"/>
      <c r="E14" s="468"/>
      <c r="F14" s="9"/>
      <c r="G14" s="9"/>
      <c r="H14" s="9"/>
      <c r="I14" s="9">
        <v>-0.39013632246909513</v>
      </c>
      <c r="J14" s="9">
        <v>-13287</v>
      </c>
      <c r="K14" s="9">
        <v>-3828</v>
      </c>
      <c r="L14" s="9">
        <v>-14704</v>
      </c>
      <c r="M14" s="9">
        <v>-784</v>
      </c>
      <c r="N14" s="9">
        <v>-960</v>
      </c>
      <c r="O14" s="9">
        <f>AE14</f>
        <v>48</v>
      </c>
      <c r="P14" s="70">
        <f>O14/N14-1</f>
        <v>-1.05</v>
      </c>
      <c r="Q14" s="102">
        <f>O14-N14</f>
        <v>1008</v>
      </c>
      <c r="R14" s="9">
        <v>-117</v>
      </c>
      <c r="S14" s="9">
        <v>-117</v>
      </c>
      <c r="T14" s="70">
        <f>S14/R14-1</f>
        <v>0</v>
      </c>
      <c r="U14" s="102">
        <f>S14-R14</f>
        <v>0</v>
      </c>
      <c r="V14" s="9">
        <v>322</v>
      </c>
      <c r="W14" s="9">
        <v>322</v>
      </c>
      <c r="X14" s="70"/>
      <c r="Y14" s="102">
        <f>W14-V14</f>
        <v>0</v>
      </c>
      <c r="Z14" s="9">
        <v>-13949</v>
      </c>
      <c r="AA14" s="9">
        <f t="shared" si="10"/>
        <v>-205</v>
      </c>
      <c r="AB14" s="70">
        <f>AA14/Z14-1</f>
        <v>-0.98530360599326117</v>
      </c>
      <c r="AC14" s="102">
        <f>AA14-Z14</f>
        <v>13744</v>
      </c>
      <c r="AD14" s="9">
        <v>-960</v>
      </c>
      <c r="AE14" s="9">
        <v>48</v>
      </c>
      <c r="AF14" s="70">
        <f>IFERROR(AE14/AD14-1,0)</f>
        <v>-1.05</v>
      </c>
      <c r="AG14" s="102"/>
      <c r="AK14" s="456"/>
    </row>
    <row r="15" spans="1:37" s="357" customFormat="1" ht="15.75" hidden="1" customHeight="1">
      <c r="A15" s="405" t="s">
        <v>478</v>
      </c>
      <c r="B15" s="406"/>
      <c r="C15" s="468"/>
      <c r="D15" s="468"/>
      <c r="E15" s="468"/>
      <c r="F15" s="9"/>
      <c r="G15" s="9"/>
      <c r="H15" s="9"/>
      <c r="I15" s="9"/>
      <c r="J15" s="9">
        <v>-4310</v>
      </c>
      <c r="K15" s="9">
        <v>0</v>
      </c>
      <c r="L15" s="9">
        <v>0</v>
      </c>
      <c r="M15" s="9">
        <v>0</v>
      </c>
      <c r="N15" s="9">
        <v>0</v>
      </c>
      <c r="O15" s="9"/>
      <c r="P15" s="70"/>
      <c r="Q15" s="102">
        <f>O15-N15</f>
        <v>0</v>
      </c>
      <c r="R15" s="9"/>
      <c r="S15" s="9"/>
      <c r="T15" s="70"/>
      <c r="U15" s="102"/>
      <c r="V15" s="9"/>
      <c r="W15" s="9"/>
      <c r="X15" s="70"/>
      <c r="Y15" s="102"/>
      <c r="Z15" s="9"/>
      <c r="AA15" s="9"/>
      <c r="AB15" s="70"/>
      <c r="AC15" s="102"/>
      <c r="AD15" s="9">
        <f>0</f>
        <v>0</v>
      </c>
      <c r="AE15" s="9">
        <f>0</f>
        <v>0</v>
      </c>
      <c r="AF15" s="70"/>
      <c r="AG15" s="102"/>
      <c r="AK15" s="456"/>
    </row>
    <row r="16" spans="1:37" customFormat="1">
      <c r="A16" s="408" t="s">
        <v>479</v>
      </c>
      <c r="B16" s="408"/>
      <c r="C16" s="471">
        <v>-0.2663359157348395</v>
      </c>
      <c r="D16" s="471">
        <v>-0.28096177461033334</v>
      </c>
      <c r="E16" s="471">
        <v>-0.30631145989115816</v>
      </c>
      <c r="F16" s="471">
        <v>-0.28767901933324136</v>
      </c>
      <c r="G16" s="471">
        <v>-0.32615978635415172</v>
      </c>
      <c r="H16" s="471">
        <v>0.34386337823057539</v>
      </c>
      <c r="I16" s="471">
        <f>I13/I8</f>
        <v>-0.39013632246909513</v>
      </c>
      <c r="J16" s="471">
        <v>-0.37142106779077982</v>
      </c>
      <c r="K16" s="471">
        <v>-0.34047592695074708</v>
      </c>
      <c r="L16" s="471">
        <v>-0.32003172435784749</v>
      </c>
      <c r="M16" s="471">
        <v>-0.22330987692491522</v>
      </c>
      <c r="N16" s="13">
        <f>SUM(N13:N14)/N8</f>
        <v>-0.33269434554914568</v>
      </c>
      <c r="O16" s="13">
        <f>SUM(O13:O14)/O8</f>
        <v>-0.2658455510413823</v>
      </c>
      <c r="P16" s="13"/>
      <c r="Q16" s="348">
        <f>(O16-N16)*100</f>
        <v>6.6848794507763376</v>
      </c>
      <c r="R16" s="13">
        <v>-0.21028213981725588</v>
      </c>
      <c r="S16" s="13">
        <v>-0.21028213981725588</v>
      </c>
      <c r="T16" s="13"/>
      <c r="U16" s="348">
        <f>(S16-R16)*100</f>
        <v>0</v>
      </c>
      <c r="V16" s="13">
        <v>-0.21253473712002413</v>
      </c>
      <c r="W16" s="13">
        <v>-0.21253473712002413</v>
      </c>
      <c r="X16" s="13"/>
      <c r="Y16" s="348">
        <f>(W16-V16)*100</f>
        <v>0</v>
      </c>
      <c r="Z16" s="13">
        <v>-0.23516215693565595</v>
      </c>
      <c r="AA16" s="13">
        <f t="shared" ref="AA16" si="11">SUM(AA13:AA15)/AA8</f>
        <v>-0.21143750212724208</v>
      </c>
      <c r="AB16" s="13"/>
      <c r="AC16" s="348">
        <f>(AA16-Z16)*100</f>
        <v>2.3724654808413876</v>
      </c>
      <c r="AD16" s="13">
        <f>SUM(AD13:AD15)/AD8</f>
        <v>-0.33269434554914568</v>
      </c>
      <c r="AE16" s="13">
        <f>SUM(AE13:AE15)/AE8</f>
        <v>-0.2658455510413823</v>
      </c>
      <c r="AF16" s="13"/>
      <c r="AG16" s="348">
        <f>(AE16-AD16)*100</f>
        <v>6.6848794507763376</v>
      </c>
      <c r="AK16" s="456"/>
    </row>
    <row r="17" spans="1:37" customFormat="1">
      <c r="A17" s="421"/>
      <c r="B17" s="422"/>
      <c r="C17" s="464"/>
      <c r="D17" s="464"/>
      <c r="E17" s="464"/>
      <c r="F17" s="466"/>
      <c r="G17" s="52"/>
      <c r="H17" s="29"/>
      <c r="I17" s="466"/>
      <c r="J17" s="466"/>
      <c r="K17" s="29"/>
      <c r="L17" s="29"/>
      <c r="M17" s="29"/>
      <c r="N17" s="29"/>
      <c r="O17" s="29"/>
      <c r="P17" s="69"/>
      <c r="Q17" s="68"/>
      <c r="R17" s="52"/>
      <c r="S17" s="27"/>
      <c r="T17" s="67"/>
      <c r="U17" s="68"/>
      <c r="V17" s="28"/>
      <c r="W17" s="52"/>
      <c r="X17" s="67"/>
      <c r="Y17" s="68"/>
      <c r="Z17" s="52">
        <v>-37361</v>
      </c>
      <c r="AA17" s="52">
        <f>SUM(AA13,AA14,AA18)</f>
        <v>52119</v>
      </c>
      <c r="AB17" s="67">
        <v>-0.18892363761727693</v>
      </c>
      <c r="AC17" s="68"/>
      <c r="AD17" s="28"/>
      <c r="AE17" s="28"/>
      <c r="AF17" s="67"/>
      <c r="AG17" s="68"/>
      <c r="AK17" s="456"/>
    </row>
    <row r="18" spans="1:37" customFormat="1">
      <c r="A18" s="405" t="s">
        <v>480</v>
      </c>
      <c r="B18" s="406"/>
      <c r="C18" s="468">
        <v>-24415</v>
      </c>
      <c r="D18" s="468">
        <v>-27788</v>
      </c>
      <c r="E18" s="468">
        <v>-40504</v>
      </c>
      <c r="F18" s="9">
        <v>-33902</v>
      </c>
      <c r="G18" s="9">
        <v>-36416</v>
      </c>
      <c r="H18" s="468">
        <v>-35735</v>
      </c>
      <c r="I18" s="9">
        <v>-36213</v>
      </c>
      <c r="J18" s="9">
        <v>-35189</v>
      </c>
      <c r="K18" s="9">
        <v>-39589</v>
      </c>
      <c r="L18" s="9">
        <v>-33850</v>
      </c>
      <c r="M18" s="9">
        <v>-37499</v>
      </c>
      <c r="N18" s="9">
        <v>-8205</v>
      </c>
      <c r="O18" s="9">
        <f>AE18</f>
        <v>-10909</v>
      </c>
      <c r="P18" s="70">
        <f>O18/N18-1</f>
        <v>0.32955514929920771</v>
      </c>
      <c r="Q18" s="102">
        <f>O18-N18</f>
        <v>-2704</v>
      </c>
      <c r="R18" s="9">
        <v>-8506</v>
      </c>
      <c r="S18" s="9">
        <v>-8506</v>
      </c>
      <c r="T18" s="70">
        <f>S18/R18-1</f>
        <v>0</v>
      </c>
      <c r="U18" s="102">
        <f>S18-R18</f>
        <v>0</v>
      </c>
      <c r="V18" s="9">
        <v>-10403</v>
      </c>
      <c r="W18" s="9">
        <v>-10403</v>
      </c>
      <c r="X18" s="70">
        <f>IFERROR(W18/V18-1,0)</f>
        <v>0</v>
      </c>
      <c r="Y18" s="102">
        <f>W18-V18</f>
        <v>0</v>
      </c>
      <c r="Z18" s="9">
        <v>-6736</v>
      </c>
      <c r="AA18" s="9">
        <f t="shared" ref="AA18" si="12">AE18-W18-S18-O18</f>
        <v>18909</v>
      </c>
      <c r="AB18" s="70">
        <f>AA18/Z18-1</f>
        <v>-3.8071555819477436</v>
      </c>
      <c r="AC18" s="102">
        <f>AA18-Z18</f>
        <v>25645</v>
      </c>
      <c r="AD18" s="9">
        <v>-8205</v>
      </c>
      <c r="AE18" s="9">
        <v>-10909</v>
      </c>
      <c r="AF18" s="70">
        <f>IFERROR(AE18/AD18-1,0)</f>
        <v>0.32955514929920771</v>
      </c>
      <c r="AG18" s="102">
        <f>AE18-AD18</f>
        <v>-2704</v>
      </c>
      <c r="AH18" s="383"/>
      <c r="AI18" s="383"/>
      <c r="AJ18" s="383"/>
      <c r="AK18" s="115"/>
    </row>
    <row r="19" spans="1:37" customFormat="1">
      <c r="A19" s="408" t="s">
        <v>479</v>
      </c>
      <c r="B19" s="408"/>
      <c r="C19" s="13">
        <v>-9.317635385261229E-2</v>
      </c>
      <c r="D19" s="13">
        <v>-8.88604249083432E-2</v>
      </c>
      <c r="E19" s="13">
        <v>-9.3392645404690167E-2</v>
      </c>
      <c r="F19" s="13">
        <v>-8.2001194873171701E-2</v>
      </c>
      <c r="G19" s="13">
        <v>-9.1660311155746521E-2</v>
      </c>
      <c r="H19" s="13">
        <v>9.9023763375825899E-2</v>
      </c>
      <c r="I19" s="13">
        <v>-0.10648502099530693</v>
      </c>
      <c r="J19" s="13">
        <v>-0.11511102459433294</v>
      </c>
      <c r="K19" s="13">
        <v>-0.12519250533639023</v>
      </c>
      <c r="L19" s="13">
        <v>-0.13838524653832474</v>
      </c>
      <c r="M19" s="13">
        <v>-0.11927099196409856</v>
      </c>
      <c r="N19" s="13">
        <f>N18/N8</f>
        <v>-0.18894975463630789</v>
      </c>
      <c r="O19" s="13">
        <f>O18/O8</f>
        <v>-0.17518025468501597</v>
      </c>
      <c r="P19" s="13"/>
      <c r="Q19" s="348">
        <f>(O19-N19)*100</f>
        <v>1.3769499951291926</v>
      </c>
      <c r="R19" s="13">
        <v>-0.11115211790240981</v>
      </c>
      <c r="S19" s="13">
        <v>-0.11115211790240981</v>
      </c>
      <c r="T19" s="13"/>
      <c r="U19" s="348">
        <f>(S19-R19)*100</f>
        <v>0</v>
      </c>
      <c r="V19" s="13"/>
      <c r="W19" s="13"/>
      <c r="X19" s="13"/>
      <c r="Y19" s="348">
        <f>(W19-V19)*100</f>
        <v>0</v>
      </c>
      <c r="Z19" s="13"/>
      <c r="AA19" s="13"/>
      <c r="AB19" s="13"/>
      <c r="AC19" s="348">
        <f>(AA19-Z19)*100</f>
        <v>0</v>
      </c>
      <c r="AD19" s="13">
        <f t="shared" ref="AD19:AE19" si="13">AD18/AD8</f>
        <v>-0.18894975463630789</v>
      </c>
      <c r="AE19" s="13">
        <f t="shared" si="13"/>
        <v>-0.17518025468501597</v>
      </c>
      <c r="AF19" s="13"/>
      <c r="AG19" s="348">
        <f>(AE19-AD19)*100</f>
        <v>1.3769499951291926</v>
      </c>
    </row>
    <row r="20" spans="1:37" customFormat="1">
      <c r="A20" s="421"/>
      <c r="B20" s="422"/>
      <c r="C20" s="464"/>
      <c r="D20" s="464"/>
      <c r="E20" s="464"/>
      <c r="F20" s="466"/>
      <c r="G20" s="52"/>
      <c r="H20" s="464"/>
      <c r="I20" s="466"/>
      <c r="J20" s="466"/>
      <c r="K20" s="466"/>
      <c r="L20" s="466"/>
      <c r="M20" s="466"/>
      <c r="N20" s="28"/>
      <c r="O20" s="28"/>
      <c r="P20" s="69"/>
      <c r="Q20" s="68"/>
      <c r="R20" s="52"/>
      <c r="S20" s="27"/>
      <c r="T20" s="69"/>
      <c r="U20" s="68"/>
      <c r="V20" s="96"/>
      <c r="W20" s="52"/>
      <c r="X20" s="69"/>
      <c r="Y20" s="68"/>
      <c r="Z20" s="52"/>
      <c r="AA20" s="52"/>
      <c r="AB20" s="69"/>
      <c r="AC20" s="68"/>
      <c r="AD20" s="28"/>
      <c r="AE20" s="28"/>
      <c r="AF20" s="69"/>
      <c r="AG20" s="68"/>
      <c r="AH20" s="383"/>
      <c r="AI20" s="383"/>
      <c r="AJ20" s="383"/>
      <c r="AK20" s="115"/>
    </row>
    <row r="21" spans="1:37" customFormat="1">
      <c r="A21" s="405" t="s">
        <v>481</v>
      </c>
      <c r="B21" s="406"/>
      <c r="C21" s="468">
        <v>26537</v>
      </c>
      <c r="D21" s="468">
        <v>-7520</v>
      </c>
      <c r="E21" s="468">
        <v>-28934</v>
      </c>
      <c r="F21" s="9">
        <v>-11784</v>
      </c>
      <c r="G21" s="9">
        <v>-9126</v>
      </c>
      <c r="H21" s="468">
        <v>-1209</v>
      </c>
      <c r="I21" s="9">
        <v>1043</v>
      </c>
      <c r="J21" s="9">
        <v>-829</v>
      </c>
      <c r="K21" s="9">
        <v>-88632</v>
      </c>
      <c r="L21" s="9">
        <v>-9883</v>
      </c>
      <c r="M21" s="9">
        <v>-6819</v>
      </c>
      <c r="N21" s="9">
        <v>-696</v>
      </c>
      <c r="O21" s="9">
        <f>AE21</f>
        <v>-1578</v>
      </c>
      <c r="P21" s="70">
        <f>O21/N21-1</f>
        <v>1.2672413793103448</v>
      </c>
      <c r="Q21" s="102">
        <f>O21-N21</f>
        <v>-882</v>
      </c>
      <c r="R21" s="9">
        <v>-3313</v>
      </c>
      <c r="S21" s="9">
        <v>-3313</v>
      </c>
      <c r="T21" s="70">
        <f>S21/R21-1</f>
        <v>0</v>
      </c>
      <c r="U21" s="102">
        <f>S21-R21</f>
        <v>0</v>
      </c>
      <c r="V21" s="9">
        <v>-3735</v>
      </c>
      <c r="W21" s="9">
        <v>-3735</v>
      </c>
      <c r="X21" s="70">
        <f>IFERROR(W21/V21-1,0)</f>
        <v>0</v>
      </c>
      <c r="Y21" s="102">
        <f>W21-V21</f>
        <v>0</v>
      </c>
      <c r="Z21" s="9">
        <v>-2139</v>
      </c>
      <c r="AA21" s="9">
        <f t="shared" ref="AA21" si="14">AE21-W21-S21-O21</f>
        <v>7048</v>
      </c>
      <c r="AB21" s="70">
        <f>AA21/Z21-1</f>
        <v>-4.2949976624590924</v>
      </c>
      <c r="AC21" s="102">
        <f>AA21-Z21</f>
        <v>9187</v>
      </c>
      <c r="AD21" s="9">
        <v>-696</v>
      </c>
      <c r="AE21" s="9">
        <v>-1578</v>
      </c>
      <c r="AF21" s="70">
        <f>IFERROR(AE21/AD21-1,0)</f>
        <v>1.2672413793103448</v>
      </c>
      <c r="AG21" s="102">
        <f>AE21-AD21</f>
        <v>-882</v>
      </c>
    </row>
    <row r="22" spans="1:37" customFormat="1">
      <c r="A22" s="421"/>
      <c r="B22" s="422"/>
      <c r="C22" s="464"/>
      <c r="D22" s="464"/>
      <c r="E22" s="464"/>
      <c r="F22" s="466"/>
      <c r="G22" s="50"/>
      <c r="H22" s="464"/>
      <c r="I22" s="466"/>
      <c r="J22" s="466"/>
      <c r="K22" s="466"/>
      <c r="L22" s="466"/>
      <c r="M22" s="466"/>
      <c r="N22" s="28"/>
      <c r="O22" s="28"/>
      <c r="P22" s="69"/>
      <c r="Q22" s="68"/>
      <c r="R22" s="52"/>
      <c r="S22" s="27"/>
      <c r="T22" s="69"/>
      <c r="U22" s="68"/>
      <c r="V22" s="96"/>
      <c r="W22" s="52"/>
      <c r="X22" s="69"/>
      <c r="Y22" s="68"/>
      <c r="Z22" s="52"/>
      <c r="AA22" s="52"/>
      <c r="AB22" s="69"/>
      <c r="AC22" s="68"/>
      <c r="AD22" s="28"/>
      <c r="AE22" s="28"/>
      <c r="AF22" s="69"/>
      <c r="AG22" s="68"/>
    </row>
    <row r="23" spans="1:37" customFormat="1">
      <c r="A23" s="421" t="s">
        <v>482</v>
      </c>
      <c r="B23" s="422"/>
      <c r="C23" s="472">
        <f>C10+C13+C18+C21+C14+C15</f>
        <v>98500</v>
      </c>
      <c r="D23" s="472">
        <f t="shared" ref="D23:L23" si="15">D10+D13+D18+D21+D14+D15</f>
        <v>64759</v>
      </c>
      <c r="E23" s="472">
        <f t="shared" si="15"/>
        <v>48490</v>
      </c>
      <c r="F23" s="472">
        <f t="shared" si="15"/>
        <v>65180</v>
      </c>
      <c r="G23" s="472">
        <f t="shared" si="15"/>
        <v>31655</v>
      </c>
      <c r="H23" s="472">
        <f t="shared" si="15"/>
        <v>8544.9741403039661</v>
      </c>
      <c r="I23" s="472">
        <f t="shared" si="15"/>
        <v>-12773.390136322469</v>
      </c>
      <c r="J23" s="472">
        <f t="shared" si="15"/>
        <v>-2901.8242947548279</v>
      </c>
      <c r="K23" s="472">
        <f t="shared" si="15"/>
        <v>-126645</v>
      </c>
      <c r="L23" s="472">
        <f t="shared" si="15"/>
        <v>-9616</v>
      </c>
      <c r="M23" s="472">
        <v>50648.677914169384</v>
      </c>
      <c r="N23" s="27">
        <f t="shared" ref="N23:O23" si="16">N10+N13+N18+N21+N14</f>
        <v>-2107.757318166121</v>
      </c>
      <c r="O23" s="27">
        <f t="shared" si="16"/>
        <v>2908</v>
      </c>
      <c r="P23" s="67">
        <f>O23/N23-1</f>
        <v>-2.3796654742634886</v>
      </c>
      <c r="Q23" s="103">
        <f>O23-N23</f>
        <v>5015.757318166121</v>
      </c>
      <c r="R23" s="27">
        <v>14498.757318166121</v>
      </c>
      <c r="S23" s="27">
        <v>14498.757318166121</v>
      </c>
      <c r="T23" s="67">
        <f>S23/R23-1</f>
        <v>0</v>
      </c>
      <c r="U23" s="103">
        <f>S23-R23</f>
        <v>0</v>
      </c>
      <c r="V23" s="27">
        <v>11112.127992625508</v>
      </c>
      <c r="W23" s="27">
        <v>11112.127992625508</v>
      </c>
      <c r="X23" s="67">
        <f>IFERROR(W23/V23-1,0)</f>
        <v>0</v>
      </c>
      <c r="Y23" s="103">
        <f>W23-V23</f>
        <v>0</v>
      </c>
      <c r="Z23" s="27">
        <v>25037.988096237386</v>
      </c>
      <c r="AA23" s="27">
        <f>AA10+AA13+AA14+AA15+AA18+AA21</f>
        <v>-25610.689817932027</v>
      </c>
      <c r="AB23" s="67">
        <f>AA23/Z23-1</f>
        <v>-2.022873312324192</v>
      </c>
      <c r="AC23" s="103">
        <f>AA23-Z23</f>
        <v>-50648.677914169413</v>
      </c>
      <c r="AD23" s="27">
        <f>AD10+AD13+AD18+AD21+AD14</f>
        <v>-2107.757318166121</v>
      </c>
      <c r="AE23" s="27">
        <f>AE10+AE13+AE14+AE15+AE18+AE21</f>
        <v>2908</v>
      </c>
      <c r="AF23" s="67">
        <f>IFERROR(AE23/AD23-1,0)</f>
        <v>-2.3796654742634886</v>
      </c>
      <c r="AG23" s="103">
        <f>AE23-AD23</f>
        <v>5015.757318166121</v>
      </c>
    </row>
    <row r="24" spans="1:37" customFormat="1">
      <c r="A24" s="421"/>
      <c r="B24" s="422"/>
      <c r="C24" s="464"/>
      <c r="D24" s="464"/>
      <c r="E24" s="464"/>
      <c r="F24" s="466"/>
      <c r="G24" s="53"/>
      <c r="H24" s="464"/>
      <c r="I24" s="466"/>
      <c r="J24" s="466"/>
      <c r="K24" s="466"/>
      <c r="L24" s="466"/>
      <c r="M24" s="466"/>
      <c r="N24" s="28"/>
      <c r="O24" s="28"/>
      <c r="P24" s="69"/>
      <c r="Q24" s="68"/>
      <c r="R24" s="53"/>
      <c r="S24" s="27"/>
      <c r="T24" s="69"/>
      <c r="U24" s="68"/>
      <c r="V24" s="28"/>
      <c r="W24" s="53"/>
      <c r="X24" s="69"/>
      <c r="Y24" s="68"/>
      <c r="Z24" s="53"/>
      <c r="AA24" s="53"/>
      <c r="AB24" s="69"/>
      <c r="AC24" s="68"/>
      <c r="AD24" s="28"/>
      <c r="AE24" s="28"/>
      <c r="AF24" s="69"/>
      <c r="AG24" s="68"/>
    </row>
    <row r="25" spans="1:37" customFormat="1">
      <c r="A25" s="406" t="s">
        <v>483</v>
      </c>
      <c r="B25" s="406"/>
      <c r="C25" s="468">
        <v>-9288</v>
      </c>
      <c r="D25" s="468">
        <v>-3374</v>
      </c>
      <c r="E25" s="468">
        <v>-29310</v>
      </c>
      <c r="F25" s="9">
        <v>-40566</v>
      </c>
      <c r="G25" s="9">
        <v>-58084</v>
      </c>
      <c r="H25" s="468">
        <v>-85736</v>
      </c>
      <c r="I25" s="9">
        <v>-45134</v>
      </c>
      <c r="J25" s="9">
        <v>-78624</v>
      </c>
      <c r="K25" s="9">
        <v>-45519</v>
      </c>
      <c r="L25" s="9">
        <v>-78936</v>
      </c>
      <c r="M25" s="9">
        <v>-27277</v>
      </c>
      <c r="N25" s="9">
        <v>-4352</v>
      </c>
      <c r="O25" s="9">
        <f>AE25</f>
        <v>-16202</v>
      </c>
      <c r="P25" s="70">
        <f>O25/N25-1</f>
        <v>2.7228860294117645</v>
      </c>
      <c r="Q25" s="102">
        <f>O25-N25</f>
        <v>-11850</v>
      </c>
      <c r="R25" s="9">
        <v>-5936</v>
      </c>
      <c r="S25" s="9">
        <v>-5936</v>
      </c>
      <c r="T25" s="70">
        <f>S25/R25-1</f>
        <v>0</v>
      </c>
      <c r="U25" s="102">
        <f>S25-R25</f>
        <v>0</v>
      </c>
      <c r="V25" s="9">
        <v>-4509</v>
      </c>
      <c r="W25" s="9">
        <v>-4509</v>
      </c>
      <c r="X25" s="70">
        <f t="shared" ref="X25:X27" si="17">IFERROR(W25/V25-1,0)</f>
        <v>0</v>
      </c>
      <c r="Y25" s="102">
        <f>W25-V25</f>
        <v>0</v>
      </c>
      <c r="Z25" s="9">
        <v>-64139</v>
      </c>
      <c r="AA25" s="9">
        <f t="shared" ref="AA25:AA27" si="18">AE25-W25-S25-O25</f>
        <v>10445</v>
      </c>
      <c r="AB25" s="70">
        <f>AA25/Z25-1</f>
        <v>-1.1628494363803614</v>
      </c>
      <c r="AC25" s="102">
        <f>AA25-Z25</f>
        <v>74584</v>
      </c>
      <c r="AD25" s="9">
        <v>-4352</v>
      </c>
      <c r="AE25" s="9">
        <v>-16202</v>
      </c>
      <c r="AF25" s="70">
        <f t="shared" ref="AF25:AF27" si="19">IFERROR(AE25/AD25-1,0)</f>
        <v>2.7228860294117645</v>
      </c>
      <c r="AG25" s="102">
        <f>AE25-AD25</f>
        <v>-11850</v>
      </c>
    </row>
    <row r="26" spans="1:37" customFormat="1">
      <c r="A26" s="406" t="s">
        <v>484</v>
      </c>
      <c r="B26" s="406"/>
      <c r="C26" s="468">
        <v>16592</v>
      </c>
      <c r="D26" s="468">
        <v>20034</v>
      </c>
      <c r="E26" s="468">
        <v>23764</v>
      </c>
      <c r="F26" s="9">
        <v>30667</v>
      </c>
      <c r="G26" s="9">
        <v>57485</v>
      </c>
      <c r="H26" s="468">
        <v>79046</v>
      </c>
      <c r="I26" s="9">
        <v>42635</v>
      </c>
      <c r="J26" s="9">
        <v>82873</v>
      </c>
      <c r="K26" s="9">
        <v>40336</v>
      </c>
      <c r="L26" s="9">
        <v>54628</v>
      </c>
      <c r="M26" s="9">
        <v>12246</v>
      </c>
      <c r="N26" s="9">
        <v>1790</v>
      </c>
      <c r="O26" s="9">
        <f>AE26</f>
        <v>7597</v>
      </c>
      <c r="P26" s="70">
        <f>O26/N26-1</f>
        <v>3.2441340782122907</v>
      </c>
      <c r="Q26" s="102">
        <f>O26-N26</f>
        <v>5807</v>
      </c>
      <c r="R26" s="9">
        <v>4134</v>
      </c>
      <c r="S26" s="9">
        <v>4134</v>
      </c>
      <c r="T26" s="70">
        <f>S26/R26-1</f>
        <v>0</v>
      </c>
      <c r="U26" s="102">
        <f>S26-R26</f>
        <v>0</v>
      </c>
      <c r="V26" s="9">
        <v>3740</v>
      </c>
      <c r="W26" s="9">
        <v>3740</v>
      </c>
      <c r="X26" s="70">
        <f t="shared" si="17"/>
        <v>0</v>
      </c>
      <c r="Y26" s="102">
        <f>W26-V26</f>
        <v>0</v>
      </c>
      <c r="Z26" s="9">
        <v>44964</v>
      </c>
      <c r="AA26" s="9">
        <f t="shared" si="18"/>
        <v>-7874</v>
      </c>
      <c r="AB26" s="70">
        <f>AA26/Z26-1</f>
        <v>-1.1751178720754381</v>
      </c>
      <c r="AC26" s="102">
        <f>AA26-Z26</f>
        <v>-52838</v>
      </c>
      <c r="AD26" s="9">
        <v>1790</v>
      </c>
      <c r="AE26" s="9">
        <v>7597</v>
      </c>
      <c r="AF26" s="70">
        <f t="shared" si="19"/>
        <v>3.2441340782122907</v>
      </c>
      <c r="AG26" s="102">
        <f>AE26-AD26</f>
        <v>5807</v>
      </c>
    </row>
    <row r="27" spans="1:37" customFormat="1">
      <c r="A27" s="405" t="s">
        <v>485</v>
      </c>
      <c r="B27" s="406"/>
      <c r="C27" s="468">
        <f>SUM(C25:C26)</f>
        <v>7304</v>
      </c>
      <c r="D27" s="468">
        <f t="shared" ref="D27:L27" si="20">SUM(D25:D26)</f>
        <v>16660</v>
      </c>
      <c r="E27" s="468">
        <f t="shared" si="20"/>
        <v>-5546</v>
      </c>
      <c r="F27" s="468">
        <f t="shared" si="20"/>
        <v>-9899</v>
      </c>
      <c r="G27" s="468">
        <f t="shared" si="20"/>
        <v>-599</v>
      </c>
      <c r="H27" s="468">
        <f t="shared" si="20"/>
        <v>-6690</v>
      </c>
      <c r="I27" s="468">
        <f t="shared" si="20"/>
        <v>-2499</v>
      </c>
      <c r="J27" s="468">
        <f t="shared" si="20"/>
        <v>4249</v>
      </c>
      <c r="K27" s="468">
        <f t="shared" si="20"/>
        <v>-5183</v>
      </c>
      <c r="L27" s="468">
        <f t="shared" si="20"/>
        <v>-24308</v>
      </c>
      <c r="M27" s="468">
        <v>-15031</v>
      </c>
      <c r="N27" s="9">
        <v>-2562</v>
      </c>
      <c r="O27" s="9">
        <f>SUM(O25:O26)</f>
        <v>-8605</v>
      </c>
      <c r="P27" s="70">
        <f>O27/N27-1</f>
        <v>2.358704137392662</v>
      </c>
      <c r="Q27" s="102">
        <f>O27-N27</f>
        <v>-6043</v>
      </c>
      <c r="R27" s="9">
        <v>-1802</v>
      </c>
      <c r="S27" s="9">
        <v>-1802</v>
      </c>
      <c r="T27" s="70">
        <f>S27/R27-1</f>
        <v>0</v>
      </c>
      <c r="U27" s="102">
        <f>S27-R27</f>
        <v>0</v>
      </c>
      <c r="V27" s="9">
        <v>-769</v>
      </c>
      <c r="W27" s="9">
        <v>-769</v>
      </c>
      <c r="X27" s="70">
        <f t="shared" si="17"/>
        <v>0</v>
      </c>
      <c r="Y27" s="102">
        <f>W27-V27</f>
        <v>0</v>
      </c>
      <c r="Z27" s="9">
        <v>-19175</v>
      </c>
      <c r="AA27" s="9">
        <f t="shared" si="18"/>
        <v>2571</v>
      </c>
      <c r="AB27" s="70">
        <f>AA27/Z27-1</f>
        <v>-1.1340808344198174</v>
      </c>
      <c r="AC27" s="102">
        <f>AA27-Z27</f>
        <v>21746</v>
      </c>
      <c r="AD27" s="9">
        <f>SUM(AD25:AD26)</f>
        <v>-2562</v>
      </c>
      <c r="AE27" s="9">
        <f>SUM(AE25:AE26)</f>
        <v>-8605</v>
      </c>
      <c r="AF27" s="70">
        <f t="shared" si="19"/>
        <v>2.358704137392662</v>
      </c>
      <c r="AG27" s="102">
        <f>AE27-AD27</f>
        <v>-6043</v>
      </c>
    </row>
    <row r="28" spans="1:37" customFormat="1">
      <c r="A28" s="421"/>
      <c r="B28" s="422"/>
      <c r="C28" s="464"/>
      <c r="D28" s="464"/>
      <c r="E28" s="464"/>
      <c r="F28" s="473"/>
      <c r="G28" s="50"/>
      <c r="H28" s="464"/>
      <c r="I28" s="473"/>
      <c r="J28" s="473"/>
      <c r="K28" s="473"/>
      <c r="L28" s="473"/>
      <c r="M28" s="473"/>
      <c r="N28" s="96"/>
      <c r="O28" s="96"/>
      <c r="P28" s="69"/>
      <c r="Q28" s="68"/>
      <c r="R28" s="52"/>
      <c r="S28" s="27"/>
      <c r="T28" s="69"/>
      <c r="U28" s="68"/>
      <c r="V28" s="96"/>
      <c r="W28" s="50"/>
      <c r="X28" s="69"/>
      <c r="Y28" s="68"/>
      <c r="Z28" s="50"/>
      <c r="AA28" s="50"/>
      <c r="AB28" s="69"/>
      <c r="AC28" s="68"/>
      <c r="AD28" s="96"/>
      <c r="AE28" s="96"/>
      <c r="AF28" s="69"/>
      <c r="AG28" s="68"/>
    </row>
    <row r="29" spans="1:37" customFormat="1">
      <c r="A29" s="421" t="s">
        <v>486</v>
      </c>
      <c r="B29" s="422"/>
      <c r="C29" s="464">
        <f>C23+C27</f>
        <v>105804</v>
      </c>
      <c r="D29" s="464">
        <f t="shared" ref="D29:L29" si="21">D23+D27</f>
        <v>81419</v>
      </c>
      <c r="E29" s="464">
        <f t="shared" si="21"/>
        <v>42944</v>
      </c>
      <c r="F29" s="464">
        <f t="shared" si="21"/>
        <v>55281</v>
      </c>
      <c r="G29" s="464">
        <f t="shared" si="21"/>
        <v>31056</v>
      </c>
      <c r="H29" s="464">
        <f t="shared" si="21"/>
        <v>1854.9741403039661</v>
      </c>
      <c r="I29" s="464">
        <f t="shared" si="21"/>
        <v>-15272.390136322469</v>
      </c>
      <c r="J29" s="464">
        <f t="shared" si="21"/>
        <v>1347.1757052451721</v>
      </c>
      <c r="K29" s="464">
        <f t="shared" si="21"/>
        <v>-131828</v>
      </c>
      <c r="L29" s="464">
        <f t="shared" si="21"/>
        <v>-33924</v>
      </c>
      <c r="M29" s="464">
        <v>35617.677914169384</v>
      </c>
      <c r="N29" s="27">
        <v>-4669.757318166121</v>
      </c>
      <c r="O29" s="27">
        <f>O23+O27</f>
        <v>-5697</v>
      </c>
      <c r="P29" s="67">
        <f>O29/N29-1</f>
        <v>0.21997774441890949</v>
      </c>
      <c r="Q29" s="103">
        <f>O29-N29</f>
        <v>-1027.242681833879</v>
      </c>
      <c r="R29" s="27">
        <v>12696.757318166121</v>
      </c>
      <c r="S29" s="27">
        <v>12696.757318166121</v>
      </c>
      <c r="T29" s="67">
        <f>S29/R29-1</f>
        <v>0</v>
      </c>
      <c r="U29" s="103">
        <f>S29-R29</f>
        <v>0</v>
      </c>
      <c r="V29" s="27">
        <v>10343.127992625508</v>
      </c>
      <c r="W29" s="27">
        <v>10343.127992625508</v>
      </c>
      <c r="X29" s="67">
        <f>IFERROR(W29/V29-1,0)</f>
        <v>0</v>
      </c>
      <c r="Y29" s="103">
        <f>W29-V29</f>
        <v>0</v>
      </c>
      <c r="Z29" s="27">
        <v>12577.988096237386</v>
      </c>
      <c r="AA29" s="27">
        <f t="shared" ref="AA29" si="22">AA23+AA27</f>
        <v>-23039.689817932027</v>
      </c>
      <c r="AB29" s="67">
        <f>AA29/Z29-1</f>
        <v>-2.8317468295922605</v>
      </c>
      <c r="AC29" s="103">
        <f>AA29-Z29</f>
        <v>-35617.677914169413</v>
      </c>
      <c r="AD29" s="27">
        <f>AD10+AD13+AD18+AD21+AD27+AD14+AD15</f>
        <v>-4669.757318166121</v>
      </c>
      <c r="AE29" s="27">
        <f>AE23+AE27</f>
        <v>-5697</v>
      </c>
      <c r="AF29" s="67">
        <f>IFERROR(AE29/AD29-1,0)</f>
        <v>0.21997774441890949</v>
      </c>
      <c r="AG29" s="103">
        <f>AE29-AD29</f>
        <v>-1027.242681833879</v>
      </c>
    </row>
    <row r="30" spans="1:37" customFormat="1">
      <c r="A30" s="421"/>
      <c r="B30" s="422"/>
      <c r="C30" s="464"/>
      <c r="D30" s="464"/>
      <c r="E30" s="464"/>
      <c r="F30" s="463"/>
      <c r="G30" s="463"/>
      <c r="H30" s="464"/>
      <c r="I30" s="463">
        <v>0</v>
      </c>
      <c r="J30" s="463"/>
      <c r="K30" s="463"/>
      <c r="L30" s="463"/>
      <c r="M30" s="463"/>
      <c r="N30" s="27"/>
      <c r="O30" s="27"/>
      <c r="P30" s="69"/>
      <c r="Q30" s="68"/>
      <c r="R30" s="27"/>
      <c r="S30" s="27"/>
      <c r="T30" s="69"/>
      <c r="U30" s="349"/>
      <c r="V30" s="27"/>
      <c r="W30" s="27"/>
      <c r="X30" s="69"/>
      <c r="Y30" s="103"/>
      <c r="Z30" s="27"/>
      <c r="AA30" s="27"/>
      <c r="AB30" s="69"/>
      <c r="AC30" s="103"/>
      <c r="AD30" s="27"/>
      <c r="AE30" s="27"/>
      <c r="AF30" s="69"/>
      <c r="AG30" s="103"/>
    </row>
    <row r="31" spans="1:37" customFormat="1">
      <c r="A31" s="422" t="s">
        <v>487</v>
      </c>
      <c r="B31" s="422"/>
      <c r="C31" s="464">
        <v>-5992</v>
      </c>
      <c r="D31" s="464">
        <v>-6459</v>
      </c>
      <c r="E31" s="464">
        <v>-7244</v>
      </c>
      <c r="F31" s="463">
        <v>-7146</v>
      </c>
      <c r="G31" s="463">
        <v>-7223</v>
      </c>
      <c r="H31" s="464">
        <v>178</v>
      </c>
      <c r="I31" s="463">
        <v>0</v>
      </c>
      <c r="J31" s="463">
        <v>0</v>
      </c>
      <c r="K31" s="463">
        <v>0</v>
      </c>
      <c r="L31" s="463">
        <v>-1893</v>
      </c>
      <c r="M31" s="463">
        <v>-1568</v>
      </c>
      <c r="N31" s="27">
        <v>-1358</v>
      </c>
      <c r="O31" s="27">
        <f>AE31</f>
        <v>-3174</v>
      </c>
      <c r="P31" s="67"/>
      <c r="Q31" s="103">
        <f>O31-N31</f>
        <v>-1816</v>
      </c>
      <c r="R31" s="27">
        <v>-5097</v>
      </c>
      <c r="S31" s="27">
        <v>-5097</v>
      </c>
      <c r="T31" s="67"/>
      <c r="U31" s="103">
        <f>S31-R31</f>
        <v>0</v>
      </c>
      <c r="V31" s="436">
        <v>-2523</v>
      </c>
      <c r="W31" s="27">
        <v>-2523</v>
      </c>
      <c r="X31" s="67">
        <f t="shared" ref="X31:X32" si="23">IFERROR(W31/V31-1,0)</f>
        <v>0</v>
      </c>
      <c r="Y31" s="103">
        <f>W31-V31</f>
        <v>0</v>
      </c>
      <c r="Z31" s="27">
        <v>7085</v>
      </c>
      <c r="AA31" s="27">
        <f t="shared" ref="AA31:AA33" si="24">AE31-W31-S31-O31</f>
        <v>7620</v>
      </c>
      <c r="AB31" s="67">
        <f>AA31/Z31-1</f>
        <v>7.5511644318983828E-2</v>
      </c>
      <c r="AC31" s="103">
        <f>AA31-Z31</f>
        <v>535</v>
      </c>
      <c r="AD31" s="27">
        <v>-1358</v>
      </c>
      <c r="AE31" s="27">
        <v>-3174</v>
      </c>
      <c r="AF31" s="67">
        <f t="shared" ref="AF31:AF32" si="25">IFERROR(AE31/AD31-1,0)</f>
        <v>1.3372606774668632</v>
      </c>
      <c r="AG31" s="103">
        <f>AE31-AD31</f>
        <v>-1816</v>
      </c>
    </row>
    <row r="32" spans="1:37" customFormat="1">
      <c r="A32" s="422" t="s">
        <v>488</v>
      </c>
      <c r="B32" s="422"/>
      <c r="C32" s="464">
        <v>-10855</v>
      </c>
      <c r="D32" s="464">
        <v>-11196</v>
      </c>
      <c r="E32" s="464">
        <v>-4178</v>
      </c>
      <c r="F32" s="463">
        <v>-1907</v>
      </c>
      <c r="G32" s="463">
        <v>-1818</v>
      </c>
      <c r="H32" s="464">
        <v>-3969</v>
      </c>
      <c r="I32" s="463">
        <v>3188</v>
      </c>
      <c r="J32" s="463">
        <v>13022</v>
      </c>
      <c r="K32" s="463">
        <v>9174</v>
      </c>
      <c r="L32" s="463">
        <v>7654</v>
      </c>
      <c r="M32" s="463">
        <v>-5969</v>
      </c>
      <c r="N32" s="27">
        <v>2016</v>
      </c>
      <c r="O32" s="27">
        <f>AE32</f>
        <v>3812</v>
      </c>
      <c r="P32" s="67">
        <f>O32/N32-1</f>
        <v>0.89087301587301582</v>
      </c>
      <c r="Q32" s="103">
        <f>O32-N32</f>
        <v>1796</v>
      </c>
      <c r="R32" s="27">
        <v>-24</v>
      </c>
      <c r="S32" s="27">
        <v>-24</v>
      </c>
      <c r="T32" s="67">
        <f>S32/R32-1</f>
        <v>0</v>
      </c>
      <c r="U32" s="103">
        <f>S32-R32</f>
        <v>0</v>
      </c>
      <c r="V32" s="436">
        <v>-1388</v>
      </c>
      <c r="W32" s="27">
        <v>-1388</v>
      </c>
      <c r="X32" s="67">
        <f t="shared" si="23"/>
        <v>0</v>
      </c>
      <c r="Y32" s="103">
        <f>W32-V32</f>
        <v>0</v>
      </c>
      <c r="Z32" s="27">
        <v>7050</v>
      </c>
      <c r="AA32" s="27">
        <f t="shared" si="24"/>
        <v>1412</v>
      </c>
      <c r="AB32" s="67">
        <f>AA32/Z32-1</f>
        <v>-0.79971631205673765</v>
      </c>
      <c r="AC32" s="103">
        <f>AA32-Z32</f>
        <v>-5638</v>
      </c>
      <c r="AD32" s="27">
        <v>2016</v>
      </c>
      <c r="AE32" s="27">
        <v>3812</v>
      </c>
      <c r="AF32" s="67">
        <f t="shared" si="25"/>
        <v>0.89087301587301582</v>
      </c>
      <c r="AG32" s="103">
        <f>AE32-AD32</f>
        <v>1796</v>
      </c>
    </row>
    <row r="33" spans="1:33" customFormat="1">
      <c r="A33" s="405" t="s">
        <v>489</v>
      </c>
      <c r="B33" s="406"/>
      <c r="C33" s="468">
        <f>SUM(C31:C32)</f>
        <v>-16847</v>
      </c>
      <c r="D33" s="468">
        <f t="shared" ref="D33:L33" si="26">SUM(D31:D32)</f>
        <v>-17655</v>
      </c>
      <c r="E33" s="468">
        <f t="shared" si="26"/>
        <v>-11422</v>
      </c>
      <c r="F33" s="468">
        <f t="shared" si="26"/>
        <v>-9053</v>
      </c>
      <c r="G33" s="468">
        <f t="shared" si="26"/>
        <v>-9041</v>
      </c>
      <c r="H33" s="468">
        <f t="shared" si="26"/>
        <v>-3791</v>
      </c>
      <c r="I33" s="468">
        <f t="shared" si="26"/>
        <v>3188</v>
      </c>
      <c r="J33" s="468">
        <f t="shared" si="26"/>
        <v>13022</v>
      </c>
      <c r="K33" s="468">
        <f t="shared" si="26"/>
        <v>9174</v>
      </c>
      <c r="L33" s="468">
        <f t="shared" si="26"/>
        <v>5761</v>
      </c>
      <c r="M33" s="468">
        <v>-7537</v>
      </c>
      <c r="N33" s="9">
        <v>658</v>
      </c>
      <c r="O33" s="9">
        <f>SUM(O31:O32)</f>
        <v>638</v>
      </c>
      <c r="P33" s="70">
        <f>O33/N33-1</f>
        <v>-3.039513677811545E-2</v>
      </c>
      <c r="Q33" s="102">
        <f>O33-N33</f>
        <v>-20</v>
      </c>
      <c r="R33" s="9">
        <v>-5121</v>
      </c>
      <c r="S33" s="9">
        <v>-5121</v>
      </c>
      <c r="T33" s="70">
        <f>S33/R33-1</f>
        <v>0</v>
      </c>
      <c r="U33" s="102">
        <f>S33-R33</f>
        <v>0</v>
      </c>
      <c r="V33" s="9">
        <v>-3911</v>
      </c>
      <c r="W33" s="9">
        <v>-3911</v>
      </c>
      <c r="X33" s="70">
        <f>IFERROR(W33/V33-1,0)</f>
        <v>0</v>
      </c>
      <c r="Y33" s="102">
        <f>W33-V33</f>
        <v>0</v>
      </c>
      <c r="Z33" s="9">
        <v>14135</v>
      </c>
      <c r="AA33" s="9">
        <f t="shared" si="24"/>
        <v>9032</v>
      </c>
      <c r="AB33" s="70">
        <f>AA33/Z33-1</f>
        <v>-0.36101874778917575</v>
      </c>
      <c r="AC33" s="102">
        <f>AA33-Z33</f>
        <v>-5103</v>
      </c>
      <c r="AD33" s="9">
        <f>SUM(AD31:AD32)</f>
        <v>658</v>
      </c>
      <c r="AE33" s="9">
        <f>SUM(AE31:AE32)</f>
        <v>638</v>
      </c>
      <c r="AF33" s="70">
        <f>IFERROR(AE33/AD33-1,0)</f>
        <v>-3.039513677811545E-2</v>
      </c>
      <c r="AG33" s="102">
        <f>AE33-AD33</f>
        <v>-20</v>
      </c>
    </row>
    <row r="34" spans="1:33" customFormat="1">
      <c r="A34" s="421"/>
      <c r="B34" s="422"/>
      <c r="C34" s="464"/>
      <c r="D34" s="464"/>
      <c r="E34" s="464"/>
      <c r="F34" s="466"/>
      <c r="G34" s="8"/>
      <c r="H34" s="464"/>
      <c r="I34" s="466"/>
      <c r="J34" s="466"/>
      <c r="K34" s="466"/>
      <c r="L34" s="466"/>
      <c r="M34" s="466"/>
      <c r="N34" s="28"/>
      <c r="O34" s="28"/>
      <c r="P34" s="69"/>
      <c r="Q34" s="68"/>
      <c r="R34" s="8">
        <v>0</v>
      </c>
      <c r="S34" s="27">
        <v>0</v>
      </c>
      <c r="T34" s="69"/>
      <c r="U34" s="68"/>
      <c r="V34" s="28"/>
      <c r="W34" s="8"/>
      <c r="X34" s="69"/>
      <c r="Y34" s="68"/>
      <c r="Z34" s="8"/>
      <c r="AA34" s="8"/>
      <c r="AB34" s="69"/>
      <c r="AC34" s="68"/>
      <c r="AD34" s="28"/>
      <c r="AE34" s="28"/>
      <c r="AF34" s="69"/>
      <c r="AG34" s="68"/>
    </row>
    <row r="35" spans="1:33" customFormat="1">
      <c r="A35" s="405" t="s">
        <v>490</v>
      </c>
      <c r="B35" s="406"/>
      <c r="C35" s="468">
        <f>C29+C33</f>
        <v>88957</v>
      </c>
      <c r="D35" s="468">
        <f t="shared" ref="D35:L35" si="27">D29+D33</f>
        <v>63764</v>
      </c>
      <c r="E35" s="468">
        <f t="shared" si="27"/>
        <v>31522</v>
      </c>
      <c r="F35" s="468">
        <f t="shared" si="27"/>
        <v>46228</v>
      </c>
      <c r="G35" s="468">
        <f t="shared" si="27"/>
        <v>22015</v>
      </c>
      <c r="H35" s="468">
        <f t="shared" si="27"/>
        <v>-1936.0258596960339</v>
      </c>
      <c r="I35" s="468">
        <f t="shared" si="27"/>
        <v>-12084.390136322469</v>
      </c>
      <c r="J35" s="468">
        <f t="shared" si="27"/>
        <v>14369.175705245172</v>
      </c>
      <c r="K35" s="468">
        <f t="shared" si="27"/>
        <v>-122654</v>
      </c>
      <c r="L35" s="468">
        <f t="shared" si="27"/>
        <v>-28163</v>
      </c>
      <c r="M35" s="468">
        <v>28080.677914169384</v>
      </c>
      <c r="N35" s="9">
        <f t="shared" ref="N35:O35" si="28">SUM(N29:N32)</f>
        <v>-4011.757318166121</v>
      </c>
      <c r="O35" s="9">
        <f t="shared" si="28"/>
        <v>-5059</v>
      </c>
      <c r="P35" s="70">
        <f>O35/N35-1</f>
        <v>0.26104337794605215</v>
      </c>
      <c r="Q35" s="102">
        <f>O35-N35</f>
        <v>-1047.242681833879</v>
      </c>
      <c r="R35" s="9">
        <v>7575.757318166121</v>
      </c>
      <c r="S35" s="9">
        <v>7575.757318166121</v>
      </c>
      <c r="T35" s="70">
        <f>S35/R35-1</f>
        <v>0</v>
      </c>
      <c r="U35" s="102">
        <f>S35-R35</f>
        <v>0</v>
      </c>
      <c r="V35" s="9">
        <v>6432.1279926255083</v>
      </c>
      <c r="W35" s="9">
        <v>6432.1279926255083</v>
      </c>
      <c r="X35" s="70">
        <f>IFERROR(W35/V35-1,0)</f>
        <v>0</v>
      </c>
      <c r="Y35" s="102">
        <f>W35-V35</f>
        <v>0</v>
      </c>
      <c r="Z35" s="9">
        <v>14072.988096237386</v>
      </c>
      <c r="AA35" s="9">
        <f t="shared" ref="AA35" si="29">SUM(AA29:AA32)</f>
        <v>-14007.689817932027</v>
      </c>
      <c r="AB35" s="70">
        <f>(AA35/Z35-1)</f>
        <v>-1.9953600274612029</v>
      </c>
      <c r="AC35" s="102">
        <f>AA35-Z35</f>
        <v>-28080.677914169413</v>
      </c>
      <c r="AD35" s="9">
        <f>SUM(AD29:AD32)</f>
        <v>-4011.757318166121</v>
      </c>
      <c r="AE35" s="9">
        <f>SUM(AE29:AE32)</f>
        <v>-5059</v>
      </c>
      <c r="AF35" s="70">
        <f>IFERROR(AE35/AD35-1,0)</f>
        <v>0.26104337794605215</v>
      </c>
      <c r="AG35" s="102">
        <f>AE35-AD35</f>
        <v>-1047.242681833879</v>
      </c>
    </row>
    <row r="36" spans="1:33" customFormat="1">
      <c r="A36" s="407" t="s">
        <v>7</v>
      </c>
      <c r="B36" s="407"/>
      <c r="C36" s="10">
        <v>0.33949166126016106</v>
      </c>
      <c r="D36" s="10">
        <v>0.20390442399077285</v>
      </c>
      <c r="E36" s="10">
        <v>7.2682277514483584E-2</v>
      </c>
      <c r="F36" s="10">
        <v>0.11181497364748337</v>
      </c>
      <c r="G36" s="10">
        <v>5.5412504121643218E-2</v>
      </c>
      <c r="H36" s="10">
        <v>-5.3647685992891832E-3</v>
      </c>
      <c r="I36" s="10">
        <v>-3.5533233747750505E-2</v>
      </c>
      <c r="J36" s="10">
        <v>4.7004761090305727E-2</v>
      </c>
      <c r="K36" s="10">
        <v>-0.38786939679026011</v>
      </c>
      <c r="L36" s="10">
        <v>-0.11513570748179733</v>
      </c>
      <c r="M36" s="10">
        <v>8.9314656653439725E-2</v>
      </c>
      <c r="N36" s="10">
        <f t="shared" ref="N36:O36" si="30">N35/N8</f>
        <v>-9.2385199381828292E-2</v>
      </c>
      <c r="O36" s="10">
        <f t="shared" si="30"/>
        <v>-8.1239060266889346E-2</v>
      </c>
      <c r="P36" s="10"/>
      <c r="Q36" s="63">
        <f>(O36-N36)*100</f>
        <v>1.1146139114938947</v>
      </c>
      <c r="R36" s="10">
        <v>0.12209757954022762</v>
      </c>
      <c r="S36" s="10">
        <v>0.12209757954022762</v>
      </c>
      <c r="T36" s="10"/>
      <c r="U36" s="63">
        <f>(S36-R36)*100</f>
        <v>0</v>
      </c>
      <c r="V36" s="10">
        <v>7.9860417807863709E-2</v>
      </c>
      <c r="W36" s="10">
        <v>7.9860417807863709E-2</v>
      </c>
      <c r="X36" s="10"/>
      <c r="Y36" s="63">
        <f>(W36-V36)*100</f>
        <v>0</v>
      </c>
      <c r="Z36" s="10">
        <v>8.9446585995324041E-2</v>
      </c>
      <c r="AA36" s="10">
        <f t="shared" ref="AA36" si="31">AA35/AA8</f>
        <v>8.918250363374737E-2</v>
      </c>
      <c r="AB36" s="10"/>
      <c r="AC36" s="63">
        <f>(AA36-Z36)*100</f>
        <v>-2.640823615766702E-2</v>
      </c>
      <c r="AD36" s="10">
        <f>AD35/AD8</f>
        <v>-9.2385199381828292E-2</v>
      </c>
      <c r="AE36" s="10">
        <f t="shared" ref="AE36" si="32">AE35/AE8</f>
        <v>-8.1239060266889346E-2</v>
      </c>
      <c r="AF36" s="10"/>
      <c r="AG36" s="63">
        <f>(AE36-AD36)*100</f>
        <v>1.1146139114938947</v>
      </c>
    </row>
    <row r="37" spans="1:33" customFormat="1">
      <c r="A37" s="421"/>
      <c r="B37" s="422"/>
      <c r="C37" s="466"/>
      <c r="D37" s="466"/>
      <c r="E37" s="466"/>
      <c r="F37" s="466"/>
      <c r="G37" s="466"/>
      <c r="H37" s="474"/>
      <c r="I37" s="466"/>
      <c r="J37" s="466"/>
      <c r="K37" s="466"/>
      <c r="L37" s="466"/>
      <c r="M37" s="466"/>
      <c r="N37" s="28"/>
      <c r="O37" s="28"/>
      <c r="P37" s="69"/>
      <c r="Q37" s="68"/>
      <c r="R37" s="54"/>
      <c r="S37" s="54"/>
      <c r="T37" s="69"/>
      <c r="U37" s="68"/>
      <c r="V37" s="96"/>
      <c r="W37" s="54"/>
      <c r="X37" s="69"/>
      <c r="Y37" s="68"/>
      <c r="Z37" s="54"/>
      <c r="AA37" s="54"/>
      <c r="AB37" s="69"/>
      <c r="AC37" s="68"/>
      <c r="AD37" s="28"/>
      <c r="AE37" s="28"/>
      <c r="AF37" s="69"/>
      <c r="AG37" s="68"/>
    </row>
    <row r="38" spans="1:33">
      <c r="A38" s="420" t="s">
        <v>3</v>
      </c>
      <c r="B38" s="411"/>
      <c r="C38" s="475">
        <v>-3147</v>
      </c>
      <c r="D38" s="476">
        <v>-5425</v>
      </c>
      <c r="E38" s="476">
        <v>-9599</v>
      </c>
      <c r="F38" s="463">
        <v>-13148.34042</v>
      </c>
      <c r="G38" s="463">
        <v>-14029</v>
      </c>
      <c r="H38" s="476">
        <v>-13423.999999999998</v>
      </c>
      <c r="I38" s="463">
        <v>-12145</v>
      </c>
      <c r="J38" s="463">
        <v>-11276</v>
      </c>
      <c r="K38" s="463">
        <v>-12236</v>
      </c>
      <c r="L38" s="463">
        <v>-11049</v>
      </c>
      <c r="M38" s="463">
        <v>-8871</v>
      </c>
      <c r="N38" s="27">
        <v>-2238</v>
      </c>
      <c r="O38" s="27">
        <v>-3146</v>
      </c>
      <c r="P38" s="74">
        <f>O38/N38-1</f>
        <v>0.40571939231456655</v>
      </c>
      <c r="Q38" s="103">
        <f t="shared" ref="Q38:Q50" si="33">O38-N38</f>
        <v>-908</v>
      </c>
      <c r="R38" s="27">
        <v>-2084</v>
      </c>
      <c r="S38" s="27">
        <v>-2084</v>
      </c>
      <c r="T38" s="67">
        <f>S38/R38-1</f>
        <v>0</v>
      </c>
      <c r="U38" s="103">
        <f t="shared" ref="U38:U50" si="34">S38-R38</f>
        <v>0</v>
      </c>
      <c r="V38" s="27">
        <v>-2081</v>
      </c>
      <c r="W38" s="27">
        <v>-2081</v>
      </c>
      <c r="X38" s="67">
        <f t="shared" ref="X38:X42" si="35">IFERROR(W38/V38-1,0)</f>
        <v>0</v>
      </c>
      <c r="Y38" s="103">
        <f t="shared" ref="Y38:Y43" si="36">W38-V38</f>
        <v>0</v>
      </c>
      <c r="Z38" s="27">
        <v>-2468</v>
      </c>
      <c r="AA38" s="27">
        <v>-2468</v>
      </c>
      <c r="AB38" s="67">
        <f t="shared" ref="AB38:AB43" si="37">AA38/Z38-1</f>
        <v>0</v>
      </c>
      <c r="AC38" s="103">
        <f t="shared" ref="AC38:AC43" si="38">AA38-Z38</f>
        <v>0</v>
      </c>
      <c r="AD38" s="27">
        <f>N38</f>
        <v>-2238</v>
      </c>
      <c r="AE38" s="27">
        <f>O38</f>
        <v>-3146</v>
      </c>
      <c r="AF38" s="67">
        <f>IFERROR(AE38/AD38-1,0)</f>
        <v>0.40571939231456655</v>
      </c>
      <c r="AG38" s="103">
        <f>AE38-AD38</f>
        <v>-908</v>
      </c>
    </row>
    <row r="39" spans="1:33">
      <c r="A39" s="420" t="s">
        <v>491</v>
      </c>
      <c r="B39" s="411"/>
      <c r="C39" s="475">
        <v>7189</v>
      </c>
      <c r="D39" s="476">
        <v>11074</v>
      </c>
      <c r="E39" s="476">
        <v>13116</v>
      </c>
      <c r="F39" s="463">
        <v>16594.183259999998</v>
      </c>
      <c r="G39" s="463">
        <v>39829.427649999998</v>
      </c>
      <c r="H39" s="476">
        <v>60361.674559999999</v>
      </c>
      <c r="I39" s="463">
        <v>30370.459159999999</v>
      </c>
      <c r="J39" s="463">
        <v>70839.439969999978</v>
      </c>
      <c r="K39" s="463">
        <v>32650.937389999999</v>
      </c>
      <c r="L39" s="463">
        <v>51557</v>
      </c>
      <c r="M39" s="463">
        <v>7381.5167577351585</v>
      </c>
      <c r="N39" s="27">
        <v>518</v>
      </c>
      <c r="O39" s="27">
        <v>5855.9434100000008</v>
      </c>
      <c r="P39" s="74">
        <f>O39/N39-1</f>
        <v>10.304910057915059</v>
      </c>
      <c r="Q39" s="103">
        <f t="shared" si="33"/>
        <v>5337.9434100000008</v>
      </c>
      <c r="R39" s="27">
        <v>3131</v>
      </c>
      <c r="S39" s="27">
        <v>3131</v>
      </c>
      <c r="T39" s="67">
        <f>S39/R39-1</f>
        <v>0</v>
      </c>
      <c r="U39" s="103">
        <f t="shared" si="34"/>
        <v>0</v>
      </c>
      <c r="V39" s="27">
        <v>2736</v>
      </c>
      <c r="W39" s="27">
        <v>2736</v>
      </c>
      <c r="X39" s="67">
        <f t="shared" si="35"/>
        <v>0</v>
      </c>
      <c r="Y39" s="103">
        <f t="shared" si="36"/>
        <v>0</v>
      </c>
      <c r="Z39" s="27">
        <v>995.04438000000027</v>
      </c>
      <c r="AA39" s="27">
        <v>995.04438000000027</v>
      </c>
      <c r="AB39" s="67">
        <f t="shared" si="37"/>
        <v>0</v>
      </c>
      <c r="AC39" s="103">
        <f t="shared" si="38"/>
        <v>0</v>
      </c>
      <c r="AD39" s="27">
        <f t="shared" ref="AD39:AD43" si="39">N39</f>
        <v>518</v>
      </c>
      <c r="AE39" s="27">
        <f t="shared" ref="AE39:AE43" si="40">O39</f>
        <v>5855.9434100000008</v>
      </c>
      <c r="AF39" s="67">
        <f>IFERROR(AE39/AD39-1,0)</f>
        <v>10.304910057915059</v>
      </c>
      <c r="AG39" s="103">
        <f>AE39-AD39</f>
        <v>5337.9434100000008</v>
      </c>
    </row>
    <row r="40" spans="1:33">
      <c r="A40" s="420" t="s">
        <v>492</v>
      </c>
      <c r="B40" s="411"/>
      <c r="C40" s="475">
        <v>9403</v>
      </c>
      <c r="D40" s="475">
        <v>8960</v>
      </c>
      <c r="E40" s="475">
        <v>10648.179258574701</v>
      </c>
      <c r="F40" s="463">
        <v>14081.99249759946</v>
      </c>
      <c r="G40" s="463">
        <v>17594.58786</v>
      </c>
      <c r="H40" s="476">
        <v>18027.933370203027</v>
      </c>
      <c r="I40" s="463">
        <v>12260.450229373513</v>
      </c>
      <c r="J40" s="463">
        <v>12031.857803829414</v>
      </c>
      <c r="K40" s="463">
        <v>7687.4019227921626</v>
      </c>
      <c r="L40" s="463">
        <v>3071</v>
      </c>
      <c r="M40" s="463">
        <v>4864.4832422648415</v>
      </c>
      <c r="N40" s="27">
        <v>1272</v>
      </c>
      <c r="O40" s="27">
        <v>1741.008615749151</v>
      </c>
      <c r="P40" s="74">
        <f>O40/N40-1</f>
        <v>0.36871746521159676</v>
      </c>
      <c r="Q40" s="103">
        <f t="shared" si="33"/>
        <v>469.00861574915098</v>
      </c>
      <c r="R40" s="27">
        <v>1001</v>
      </c>
      <c r="S40" s="27">
        <v>1001</v>
      </c>
      <c r="T40" s="67">
        <f>S40/R40-1</f>
        <v>0</v>
      </c>
      <c r="U40" s="103">
        <f t="shared" si="34"/>
        <v>0</v>
      </c>
      <c r="V40" s="27">
        <v>1004</v>
      </c>
      <c r="W40" s="27">
        <v>1004</v>
      </c>
      <c r="X40" s="67">
        <f t="shared" si="35"/>
        <v>0</v>
      </c>
      <c r="Y40" s="103">
        <f t="shared" si="36"/>
        <v>0</v>
      </c>
      <c r="Z40" s="27">
        <v>1587.4832422648419</v>
      </c>
      <c r="AA40" s="27">
        <v>1587.4832422648419</v>
      </c>
      <c r="AB40" s="67">
        <f t="shared" si="37"/>
        <v>0</v>
      </c>
      <c r="AC40" s="103">
        <f t="shared" si="38"/>
        <v>0</v>
      </c>
      <c r="AD40" s="27">
        <f t="shared" si="39"/>
        <v>1272</v>
      </c>
      <c r="AE40" s="27">
        <f t="shared" si="40"/>
        <v>1741.008615749151</v>
      </c>
      <c r="AF40" s="67">
        <f t="shared" ref="AF40:AF42" si="41">IFERROR(AE40/AD40-1,0)</f>
        <v>0.36871746521159676</v>
      </c>
      <c r="AG40" s="103">
        <f t="shared" ref="AG40:AG43" si="42">AE40-AD40</f>
        <v>469.00861574915098</v>
      </c>
    </row>
    <row r="41" spans="1:33">
      <c r="A41" s="420" t="s">
        <v>483</v>
      </c>
      <c r="B41" s="411"/>
      <c r="C41" s="475">
        <v>-9288</v>
      </c>
      <c r="D41" s="475">
        <v>-3374</v>
      </c>
      <c r="E41" s="475">
        <v>-29310</v>
      </c>
      <c r="F41" s="463">
        <v>-40568.457139999999</v>
      </c>
      <c r="G41" s="463">
        <v>-58735.880399999995</v>
      </c>
      <c r="H41" s="476">
        <v>-86070.56035</v>
      </c>
      <c r="I41" s="463">
        <v>-45898.370999999999</v>
      </c>
      <c r="J41" s="463">
        <v>-78624.831690000006</v>
      </c>
      <c r="K41" s="463">
        <v>-45516.928039999999</v>
      </c>
      <c r="L41" s="463">
        <v>-78936</v>
      </c>
      <c r="M41" s="463">
        <v>-27277</v>
      </c>
      <c r="N41" s="27">
        <v>-4352</v>
      </c>
      <c r="O41" s="27">
        <v>-16201.698059999999</v>
      </c>
      <c r="P41" s="74">
        <f>O41/N41-1</f>
        <v>2.7228166498161763</v>
      </c>
      <c r="Q41" s="103">
        <f t="shared" si="33"/>
        <v>-11849.698059999999</v>
      </c>
      <c r="R41" s="27">
        <v>-5935</v>
      </c>
      <c r="S41" s="27">
        <v>-5935</v>
      </c>
      <c r="T41" s="67">
        <f>S41/R41-1</f>
        <v>0</v>
      </c>
      <c r="U41" s="103">
        <f t="shared" si="34"/>
        <v>0</v>
      </c>
      <c r="V41" s="27">
        <v>-4509</v>
      </c>
      <c r="W41" s="27">
        <v>-4509</v>
      </c>
      <c r="X41" s="67">
        <f t="shared" si="35"/>
        <v>0</v>
      </c>
      <c r="Y41" s="103">
        <f t="shared" si="36"/>
        <v>0</v>
      </c>
      <c r="Z41" s="27">
        <v>-12479.75152</v>
      </c>
      <c r="AA41" s="27">
        <v>-12479.75152</v>
      </c>
      <c r="AB41" s="67">
        <f t="shared" si="37"/>
        <v>0</v>
      </c>
      <c r="AC41" s="103">
        <f t="shared" si="38"/>
        <v>0</v>
      </c>
      <c r="AD41" s="27">
        <f t="shared" si="39"/>
        <v>-4352</v>
      </c>
      <c r="AE41" s="27">
        <f t="shared" si="40"/>
        <v>-16201.698059999999</v>
      </c>
      <c r="AF41" s="67">
        <f t="shared" si="41"/>
        <v>2.7228166498161763</v>
      </c>
      <c r="AG41" s="103">
        <f t="shared" si="42"/>
        <v>-11849.698059999999</v>
      </c>
    </row>
    <row r="42" spans="1:33">
      <c r="A42" s="420" t="s">
        <v>493</v>
      </c>
      <c r="B42" s="411"/>
      <c r="C42" s="476">
        <v>-2070</v>
      </c>
      <c r="D42" s="477">
        <v>-6459</v>
      </c>
      <c r="E42" s="477">
        <v>-7106.2640999999985</v>
      </c>
      <c r="F42" s="463">
        <v>-7079.9619980000007</v>
      </c>
      <c r="G42" s="463">
        <v>-7222.3714499999996</v>
      </c>
      <c r="H42" s="476">
        <v>178.67804999999998</v>
      </c>
      <c r="I42" s="463">
        <v>0</v>
      </c>
      <c r="J42" s="463">
        <v>0</v>
      </c>
      <c r="K42" s="463">
        <v>-7.1155999999999997</v>
      </c>
      <c r="L42" s="463">
        <v>-1892</v>
      </c>
      <c r="M42" s="463">
        <v>-1567.9252200000001</v>
      </c>
      <c r="N42" s="27">
        <v>-1359</v>
      </c>
      <c r="O42" s="27">
        <v>-3173.6372299999998</v>
      </c>
      <c r="P42" s="74"/>
      <c r="Q42" s="103">
        <f t="shared" si="33"/>
        <v>-1814.6372299999998</v>
      </c>
      <c r="R42" s="27">
        <v>-5096</v>
      </c>
      <c r="S42" s="27">
        <v>-5096</v>
      </c>
      <c r="T42" s="67"/>
      <c r="U42" s="103">
        <f t="shared" si="34"/>
        <v>0</v>
      </c>
      <c r="V42" s="27">
        <v>-2523</v>
      </c>
      <c r="W42" s="27">
        <v>-2523</v>
      </c>
      <c r="X42" s="67">
        <f t="shared" si="35"/>
        <v>0</v>
      </c>
      <c r="Y42" s="103">
        <f t="shared" si="36"/>
        <v>0</v>
      </c>
      <c r="Z42" s="27">
        <v>7410.0747799999999</v>
      </c>
      <c r="AA42" s="27">
        <v>7410.0747799999999</v>
      </c>
      <c r="AB42" s="67">
        <f t="shared" si="37"/>
        <v>0</v>
      </c>
      <c r="AC42" s="103">
        <f t="shared" si="38"/>
        <v>0</v>
      </c>
      <c r="AD42" s="27">
        <f t="shared" si="39"/>
        <v>-1359</v>
      </c>
      <c r="AE42" s="27">
        <f t="shared" si="40"/>
        <v>-3173.6372299999998</v>
      </c>
      <c r="AF42" s="67">
        <f t="shared" si="41"/>
        <v>1.3352738999264164</v>
      </c>
      <c r="AG42" s="103">
        <f t="shared" si="42"/>
        <v>-1814.6372299999998</v>
      </c>
    </row>
    <row r="43" spans="1:33">
      <c r="A43" s="420" t="s">
        <v>494</v>
      </c>
      <c r="B43" s="411"/>
      <c r="C43" s="475">
        <v>-10855</v>
      </c>
      <c r="D43" s="475">
        <v>-11196</v>
      </c>
      <c r="E43" s="475">
        <v>-4178</v>
      </c>
      <c r="F43" s="463">
        <v>-1908.3374199999998</v>
      </c>
      <c r="G43" s="463">
        <v>-1818.1681300000002</v>
      </c>
      <c r="H43" s="476">
        <v>-3969.3795699999991</v>
      </c>
      <c r="I43" s="463">
        <v>3187.1885900000002</v>
      </c>
      <c r="J43" s="463">
        <v>13022.907749999993</v>
      </c>
      <c r="K43" s="463">
        <v>9172.2312099999999</v>
      </c>
      <c r="L43" s="463">
        <v>7653</v>
      </c>
      <c r="M43" s="463">
        <v>-5967.9754800000001</v>
      </c>
      <c r="N43" s="27">
        <v>2017</v>
      </c>
      <c r="O43" s="27">
        <v>3811.6141699999998</v>
      </c>
      <c r="P43" s="74">
        <f>O43/N43-1</f>
        <v>0.88974425880019825</v>
      </c>
      <c r="Q43" s="103">
        <f t="shared" si="33"/>
        <v>1794.6141699999998</v>
      </c>
      <c r="R43" s="27">
        <v>-24</v>
      </c>
      <c r="S43" s="27">
        <v>-24</v>
      </c>
      <c r="T43" s="67">
        <f>S43/R43-1</f>
        <v>0</v>
      </c>
      <c r="U43" s="103">
        <f t="shared" si="34"/>
        <v>0</v>
      </c>
      <c r="V43" s="27">
        <v>-1388</v>
      </c>
      <c r="W43" s="27">
        <v>-1388</v>
      </c>
      <c r="X43" s="67">
        <f>IFERROR(W43/V43-1,0)</f>
        <v>0</v>
      </c>
      <c r="Y43" s="103">
        <f t="shared" si="36"/>
        <v>0</v>
      </c>
      <c r="Z43" s="27">
        <v>-6572.9754800000001</v>
      </c>
      <c r="AA43" s="27">
        <v>-6572.9754800000001</v>
      </c>
      <c r="AB43" s="67">
        <f t="shared" si="37"/>
        <v>0</v>
      </c>
      <c r="AC43" s="103">
        <f t="shared" si="38"/>
        <v>0</v>
      </c>
      <c r="AD43" s="27">
        <f t="shared" si="39"/>
        <v>2017</v>
      </c>
      <c r="AE43" s="27">
        <f t="shared" si="40"/>
        <v>3811.6141699999998</v>
      </c>
      <c r="AF43" s="67">
        <f>IFERROR(AE43/AD43-1,0)</f>
        <v>0.88974425880019825</v>
      </c>
      <c r="AG43" s="103">
        <f t="shared" si="42"/>
        <v>1794.6141699999998</v>
      </c>
    </row>
    <row r="44" spans="1:33">
      <c r="A44" s="405" t="s">
        <v>54</v>
      </c>
      <c r="B44" s="406"/>
      <c r="C44" s="468">
        <f>C35-SUM(C38:C43)</f>
        <v>97725</v>
      </c>
      <c r="D44" s="468">
        <f t="shared" ref="D44:L44" si="43">D35-SUM(D38:D43)</f>
        <v>70184</v>
      </c>
      <c r="E44" s="468">
        <f t="shared" si="43"/>
        <v>57951.084841425298</v>
      </c>
      <c r="F44" s="468">
        <f t="shared" si="43"/>
        <v>78256.921220400545</v>
      </c>
      <c r="G44" s="468">
        <f t="shared" si="43"/>
        <v>46396.404469999994</v>
      </c>
      <c r="H44" s="468">
        <f t="shared" si="43"/>
        <v>22959.628080100942</v>
      </c>
      <c r="I44" s="468">
        <f t="shared" si="43"/>
        <v>140.88288430401917</v>
      </c>
      <c r="J44" s="468">
        <f t="shared" si="43"/>
        <v>8375.8018714157861</v>
      </c>
      <c r="K44" s="468">
        <f t="shared" si="43"/>
        <v>-114404.52688279217</v>
      </c>
      <c r="L44" s="468">
        <f t="shared" si="43"/>
        <v>1433</v>
      </c>
      <c r="M44" s="468">
        <v>59518.578614169382</v>
      </c>
      <c r="N44" s="31">
        <f>N35-SUM(N38:N43)</f>
        <v>130.24268183387903</v>
      </c>
      <c r="O44" s="9">
        <f>O35-SUM(O38:O43)</f>
        <v>6053.7690942508489</v>
      </c>
      <c r="P44" s="70">
        <f>O44/N44-1</f>
        <v>45.48068520250731</v>
      </c>
      <c r="Q44" s="102">
        <f t="shared" si="33"/>
        <v>5923.5264124169698</v>
      </c>
      <c r="R44" s="9">
        <v>16582.757318166121</v>
      </c>
      <c r="S44" s="9">
        <v>16582.757318166121</v>
      </c>
      <c r="T44" s="70">
        <f>S44/R44-1</f>
        <v>0</v>
      </c>
      <c r="U44" s="102">
        <f t="shared" si="34"/>
        <v>0</v>
      </c>
      <c r="V44" s="9">
        <v>13193.127992625508</v>
      </c>
      <c r="W44" s="9">
        <v>13193.127992625508</v>
      </c>
      <c r="X44" s="70">
        <f>IFERROR(W44/V44-1,0)</f>
        <v>0</v>
      </c>
      <c r="Y44" s="102">
        <f>W44-V44</f>
        <v>0</v>
      </c>
      <c r="Z44" s="9">
        <v>25601.112693972544</v>
      </c>
      <c r="AA44" s="9">
        <f t="shared" ref="AA44" si="44">AA35-SUM(AA38:AA43)</f>
        <v>-2479.5652201968696</v>
      </c>
      <c r="AB44" s="70">
        <f>AA44/Z44-1</f>
        <v>-1.0968538067011693</v>
      </c>
      <c r="AC44" s="102">
        <f>AA44-Z44</f>
        <v>-28080.677914169413</v>
      </c>
      <c r="AD44" s="9">
        <f>AD35-SUM(AD38:AD43)</f>
        <v>130.24268183387903</v>
      </c>
      <c r="AE44" s="9">
        <f>AE35-SUM(AE38:AE43)</f>
        <v>6053.7690942508489</v>
      </c>
      <c r="AF44" s="70">
        <f>IFERROR(AE44/AD44-1,0)</f>
        <v>45.48068520250731</v>
      </c>
      <c r="AG44" s="102">
        <f>AE44-AD44</f>
        <v>5923.5264124169698</v>
      </c>
    </row>
    <row r="45" spans="1:33">
      <c r="A45" s="438" t="s">
        <v>495</v>
      </c>
      <c r="B45" s="441"/>
      <c r="C45" s="478">
        <v>22621</v>
      </c>
      <c r="D45" s="478">
        <v>1706.677077851524</v>
      </c>
      <c r="E45" s="478">
        <v>-799.577</v>
      </c>
      <c r="F45" s="463">
        <v>-1206.526360097015</v>
      </c>
      <c r="G45" s="463">
        <v>-63.302908076515223</v>
      </c>
      <c r="H45" s="478">
        <v>-1883.306</v>
      </c>
      <c r="I45" s="463">
        <v>-2125.4444765631001</v>
      </c>
      <c r="J45" s="463">
        <v>-963.05533319572203</v>
      </c>
      <c r="K45" s="463">
        <v>-9653.600019999998</v>
      </c>
      <c r="L45" s="463">
        <v>1612</v>
      </c>
      <c r="M45" s="463">
        <v>-2857</v>
      </c>
      <c r="N45" s="27">
        <v>-446</v>
      </c>
      <c r="O45" s="27">
        <v>-562</v>
      </c>
      <c r="P45" s="74">
        <f>O45/N45-1</f>
        <v>0.26008968609865479</v>
      </c>
      <c r="Q45" s="103">
        <f t="shared" si="33"/>
        <v>-116</v>
      </c>
      <c r="R45" s="27">
        <v>610</v>
      </c>
      <c r="S45" s="27">
        <v>610</v>
      </c>
      <c r="T45" s="67">
        <f>S45/R45-1</f>
        <v>0</v>
      </c>
      <c r="U45" s="103">
        <f t="shared" si="34"/>
        <v>0</v>
      </c>
      <c r="V45" s="27">
        <v>-1602</v>
      </c>
      <c r="W45" s="27">
        <v>-1602</v>
      </c>
      <c r="X45" s="67">
        <f>IFERROR(W45/V45-1,0)</f>
        <v>0</v>
      </c>
      <c r="Y45" s="103">
        <f t="shared" ref="Y45:Y51" si="45">W45-V45</f>
        <v>0</v>
      </c>
      <c r="Z45" s="27">
        <v>-1419</v>
      </c>
      <c r="AA45" s="27">
        <v>-1419</v>
      </c>
      <c r="AB45" s="67">
        <f t="shared" ref="AB45:AB50" si="46">AA45/Z45-1</f>
        <v>0</v>
      </c>
      <c r="AC45" s="103">
        <f t="shared" ref="AC45:AC50" si="47">AA45-Z45</f>
        <v>0</v>
      </c>
      <c r="AD45" s="27">
        <f t="shared" ref="AD45:AD51" si="48">N45</f>
        <v>-446</v>
      </c>
      <c r="AE45" s="27">
        <f t="shared" ref="AE45:AE51" si="49">O45</f>
        <v>-562</v>
      </c>
      <c r="AF45" s="67">
        <f>IFERROR(AE45/AD45-1,0)</f>
        <v>0.26008968609865479</v>
      </c>
      <c r="AG45" s="103">
        <f t="shared" ref="AG45:AG50" si="50">AE45-AD45</f>
        <v>-116</v>
      </c>
    </row>
    <row r="46" spans="1:33">
      <c r="A46" s="439" t="s">
        <v>496</v>
      </c>
      <c r="B46" s="440"/>
      <c r="C46" s="478">
        <v>7150</v>
      </c>
      <c r="D46" s="478">
        <v>-1159.8243400000001</v>
      </c>
      <c r="E46" s="478">
        <v>-11678.14939</v>
      </c>
      <c r="F46" s="463">
        <v>1037.0412756000001</v>
      </c>
      <c r="G46" s="463">
        <v>-19758.476630000001</v>
      </c>
      <c r="H46" s="478">
        <v>-1616.67</v>
      </c>
      <c r="I46" s="463">
        <v>-6900</v>
      </c>
      <c r="J46" s="463">
        <v>-19498</v>
      </c>
      <c r="K46" s="463">
        <v>-1528</v>
      </c>
      <c r="L46" s="463">
        <v>-2639</v>
      </c>
      <c r="M46" s="463">
        <v>4568</v>
      </c>
      <c r="N46" s="27"/>
      <c r="O46" s="27"/>
      <c r="P46" s="74">
        <f>IFERROR(O46/N46-1,0)</f>
        <v>0</v>
      </c>
      <c r="Q46" s="103">
        <f t="shared" si="33"/>
        <v>0</v>
      </c>
      <c r="R46" s="27">
        <v>-666</v>
      </c>
      <c r="S46" s="27">
        <v>-666</v>
      </c>
      <c r="T46" s="67">
        <f>IFERROR(S46/R46-1,0)</f>
        <v>0</v>
      </c>
      <c r="U46" s="103">
        <f t="shared" si="34"/>
        <v>0</v>
      </c>
      <c r="V46" s="27">
        <v>-750</v>
      </c>
      <c r="W46" s="27">
        <v>-750</v>
      </c>
      <c r="X46" s="67">
        <f>IFERROR(W46/V46-1,0)</f>
        <v>0</v>
      </c>
      <c r="Y46" s="103">
        <f t="shared" si="45"/>
        <v>0</v>
      </c>
      <c r="Z46" s="27">
        <v>5984</v>
      </c>
      <c r="AA46" s="27">
        <v>5984</v>
      </c>
      <c r="AB46" s="67">
        <f t="shared" si="46"/>
        <v>0</v>
      </c>
      <c r="AC46" s="103">
        <f t="shared" si="47"/>
        <v>0</v>
      </c>
      <c r="AD46" s="27">
        <f t="shared" si="48"/>
        <v>0</v>
      </c>
      <c r="AE46" s="27">
        <f t="shared" si="49"/>
        <v>0</v>
      </c>
      <c r="AF46" s="67">
        <f>IFERROR(AE46/AD46-1,0)</f>
        <v>0</v>
      </c>
      <c r="AG46" s="103">
        <f t="shared" si="50"/>
        <v>0</v>
      </c>
    </row>
    <row r="47" spans="1:33">
      <c r="A47" s="439" t="s">
        <v>497</v>
      </c>
      <c r="B47" s="440"/>
      <c r="C47" s="475">
        <v>0</v>
      </c>
      <c r="D47" s="478">
        <v>0</v>
      </c>
      <c r="E47" s="475">
        <v>-743.67</v>
      </c>
      <c r="F47" s="463">
        <v>-1509.1870000000001</v>
      </c>
      <c r="G47" s="463">
        <v>5375.1013999999996</v>
      </c>
      <c r="H47" s="478">
        <v>0</v>
      </c>
      <c r="I47" s="463"/>
      <c r="J47" s="463">
        <v>0</v>
      </c>
      <c r="K47" s="463">
        <v>0</v>
      </c>
      <c r="L47" s="463">
        <v>0</v>
      </c>
      <c r="M47" s="463">
        <v>0</v>
      </c>
      <c r="N47" s="27"/>
      <c r="O47" s="27"/>
      <c r="P47" s="74">
        <f>IFERROR(O47/N47-1,0)</f>
        <v>0</v>
      </c>
      <c r="Q47" s="103">
        <f t="shared" si="33"/>
        <v>0</v>
      </c>
      <c r="R47" s="27"/>
      <c r="S47" s="27"/>
      <c r="T47" s="67">
        <f>IFERROR(S47/R47-1,0)</f>
        <v>0</v>
      </c>
      <c r="U47" s="103">
        <f t="shared" si="34"/>
        <v>0</v>
      </c>
      <c r="V47" s="27"/>
      <c r="W47" s="27"/>
      <c r="X47" s="67">
        <f>IFERROR(W47/V47-1,0)</f>
        <v>0</v>
      </c>
      <c r="Y47" s="103">
        <f t="shared" si="45"/>
        <v>0</v>
      </c>
      <c r="Z47" s="27"/>
      <c r="AA47" s="27"/>
      <c r="AB47" s="67">
        <f>IFERROR(AA47/Z47-1,0)</f>
        <v>0</v>
      </c>
      <c r="AC47" s="103">
        <f t="shared" si="47"/>
        <v>0</v>
      </c>
      <c r="AD47" s="27">
        <f t="shared" si="48"/>
        <v>0</v>
      </c>
      <c r="AE47" s="27">
        <f t="shared" si="49"/>
        <v>0</v>
      </c>
      <c r="AF47" s="67">
        <f>IFERROR(AE47/AD47-1,0)</f>
        <v>0</v>
      </c>
      <c r="AG47" s="103">
        <f t="shared" si="50"/>
        <v>0</v>
      </c>
    </row>
    <row r="48" spans="1:33">
      <c r="A48" s="439" t="s">
        <v>498</v>
      </c>
      <c r="B48" s="440"/>
      <c r="C48" s="475">
        <v>0</v>
      </c>
      <c r="D48" s="478">
        <v>0</v>
      </c>
      <c r="E48" s="475">
        <v>-4554.58554</v>
      </c>
      <c r="F48" s="463">
        <v>-2635.1899100000001</v>
      </c>
      <c r="G48" s="463">
        <v>-771.45402000000001</v>
      </c>
      <c r="H48" s="478">
        <v>-78.071079999999995</v>
      </c>
      <c r="I48" s="463">
        <v>-131.54944</v>
      </c>
      <c r="J48" s="463">
        <v>0</v>
      </c>
      <c r="K48" s="463">
        <v>0</v>
      </c>
      <c r="L48" s="463">
        <v>0</v>
      </c>
      <c r="M48" s="463">
        <v>0</v>
      </c>
      <c r="N48" s="27"/>
      <c r="O48" s="27"/>
      <c r="P48" s="74"/>
      <c r="Q48" s="103">
        <f t="shared" si="33"/>
        <v>0</v>
      </c>
      <c r="R48" s="27"/>
      <c r="S48" s="27"/>
      <c r="T48" s="67" t="e">
        <f>S48/R48-1</f>
        <v>#DIV/0!</v>
      </c>
      <c r="U48" s="103">
        <f t="shared" si="34"/>
        <v>0</v>
      </c>
      <c r="V48" s="27"/>
      <c r="W48" s="27"/>
      <c r="X48" s="67">
        <f t="shared" ref="X48:X51" si="51">IFERROR(W48/V48-1,0)</f>
        <v>0</v>
      </c>
      <c r="Y48" s="103">
        <f t="shared" si="45"/>
        <v>0</v>
      </c>
      <c r="Z48" s="27"/>
      <c r="AA48" s="27"/>
      <c r="AB48" s="67">
        <f t="shared" ref="AB48:AB49" si="52">IFERROR(AA48/Z48-1,0)</f>
        <v>0</v>
      </c>
      <c r="AC48" s="103">
        <f t="shared" si="47"/>
        <v>0</v>
      </c>
      <c r="AD48" s="27">
        <f t="shared" si="48"/>
        <v>0</v>
      </c>
      <c r="AE48" s="27">
        <f t="shared" si="49"/>
        <v>0</v>
      </c>
      <c r="AF48" s="67">
        <f t="shared" ref="AF48:AF50" si="53">IFERROR(AE48/AD48-1,0)</f>
        <v>0</v>
      </c>
      <c r="AG48" s="103">
        <f t="shared" si="50"/>
        <v>0</v>
      </c>
    </row>
    <row r="49" spans="1:33">
      <c r="A49" s="420" t="s">
        <v>499</v>
      </c>
      <c r="B49" s="411"/>
      <c r="C49" s="475">
        <v>-877</v>
      </c>
      <c r="D49" s="478">
        <v>0</v>
      </c>
      <c r="E49" s="475">
        <v>0</v>
      </c>
      <c r="F49" s="463">
        <v>0</v>
      </c>
      <c r="G49" s="463">
        <v>0</v>
      </c>
      <c r="H49" s="478"/>
      <c r="I49" s="463">
        <v>-2037.0375099999999</v>
      </c>
      <c r="J49" s="463">
        <v>-1203.26125</v>
      </c>
      <c r="K49" s="463">
        <v>-1402.3747800000001</v>
      </c>
      <c r="L49" s="463">
        <v>0</v>
      </c>
      <c r="M49" s="463">
        <v>0</v>
      </c>
      <c r="N49" s="27"/>
      <c r="O49" s="27"/>
      <c r="P49" s="74" t="e">
        <f>O49/N49-1</f>
        <v>#DIV/0!</v>
      </c>
      <c r="Q49" s="103">
        <f t="shared" si="33"/>
        <v>0</v>
      </c>
      <c r="R49" s="27"/>
      <c r="S49" s="27"/>
      <c r="T49" s="67" t="e">
        <f>S49/R49-1</f>
        <v>#DIV/0!</v>
      </c>
      <c r="U49" s="103">
        <f t="shared" si="34"/>
        <v>0</v>
      </c>
      <c r="V49" s="27"/>
      <c r="W49" s="27"/>
      <c r="X49" s="67">
        <f t="shared" si="51"/>
        <v>0</v>
      </c>
      <c r="Y49" s="103">
        <f t="shared" si="45"/>
        <v>0</v>
      </c>
      <c r="Z49" s="27"/>
      <c r="AA49" s="27"/>
      <c r="AB49" s="67">
        <f t="shared" si="52"/>
        <v>0</v>
      </c>
      <c r="AC49" s="103">
        <f t="shared" si="47"/>
        <v>0</v>
      </c>
      <c r="AD49" s="27">
        <f t="shared" si="48"/>
        <v>0</v>
      </c>
      <c r="AE49" s="27">
        <f t="shared" si="49"/>
        <v>0</v>
      </c>
      <c r="AF49" s="67">
        <f t="shared" si="53"/>
        <v>0</v>
      </c>
      <c r="AG49" s="103">
        <f t="shared" si="50"/>
        <v>0</v>
      </c>
    </row>
    <row r="50" spans="1:33">
      <c r="A50" s="439" t="s">
        <v>500</v>
      </c>
      <c r="B50" s="440"/>
      <c r="C50" s="475">
        <v>-9892</v>
      </c>
      <c r="D50" s="478">
        <v>-2424.9584500000001</v>
      </c>
      <c r="E50" s="475">
        <v>-6241.5990000000002</v>
      </c>
      <c r="F50" s="463">
        <v>-3830.0338200000001</v>
      </c>
      <c r="G50" s="463">
        <v>-4099.9849999999997</v>
      </c>
      <c r="H50" s="478">
        <v>-2997.5649900000003</v>
      </c>
      <c r="I50" s="463">
        <v>-10679.379724250022</v>
      </c>
      <c r="J50" s="463">
        <v>-6287.0451438294149</v>
      </c>
      <c r="K50" s="463">
        <v>-6409.1697784806711</v>
      </c>
      <c r="L50" s="463">
        <v>-3545</v>
      </c>
      <c r="M50" s="463">
        <v>-5372.8296697964197</v>
      </c>
      <c r="N50" s="27">
        <v>-682</v>
      </c>
      <c r="O50" s="27">
        <v>-1979.4997400000002</v>
      </c>
      <c r="P50" s="74">
        <f>O50/N50-1</f>
        <v>1.9024922873900296</v>
      </c>
      <c r="Q50" s="103">
        <f t="shared" si="33"/>
        <v>-1297.4997400000002</v>
      </c>
      <c r="R50" s="27">
        <v>-911</v>
      </c>
      <c r="S50" s="27">
        <v>-911</v>
      </c>
      <c r="T50" s="67">
        <f>S50/R50-1</f>
        <v>0</v>
      </c>
      <c r="U50" s="103">
        <f t="shared" si="34"/>
        <v>0</v>
      </c>
      <c r="V50" s="27">
        <v>-1255</v>
      </c>
      <c r="W50" s="27">
        <v>-1255</v>
      </c>
      <c r="X50" s="67">
        <f t="shared" si="51"/>
        <v>0</v>
      </c>
      <c r="Y50" s="103">
        <f t="shared" si="45"/>
        <v>0</v>
      </c>
      <c r="Z50" s="27">
        <v>-2524.8296697964201</v>
      </c>
      <c r="AA50" s="27">
        <v>-2524.8296697964201</v>
      </c>
      <c r="AB50" s="67">
        <f t="shared" si="46"/>
        <v>0</v>
      </c>
      <c r="AC50" s="103">
        <f t="shared" si="47"/>
        <v>0</v>
      </c>
      <c r="AD50" s="27">
        <f t="shared" si="48"/>
        <v>-682</v>
      </c>
      <c r="AE50" s="27">
        <f t="shared" si="49"/>
        <v>-1979.4997400000002</v>
      </c>
      <c r="AF50" s="67">
        <f t="shared" si="53"/>
        <v>1.9024922873900296</v>
      </c>
      <c r="AG50" s="103">
        <f t="shared" si="50"/>
        <v>-1297.4997400000002</v>
      </c>
    </row>
    <row r="51" spans="1:33">
      <c r="A51" s="439" t="s">
        <v>501</v>
      </c>
      <c r="B51" s="442"/>
      <c r="C51" s="479">
        <v>0</v>
      </c>
      <c r="D51" s="479">
        <v>-8482.2513770875557</v>
      </c>
      <c r="E51" s="479">
        <v>-12648.48400233217</v>
      </c>
      <c r="F51" s="463">
        <v>-15161.074877599462</v>
      </c>
      <c r="G51" s="463">
        <v>-18342.442920000001</v>
      </c>
      <c r="H51" s="480">
        <v>-16796.437820203028</v>
      </c>
      <c r="I51" s="481"/>
      <c r="J51" s="481">
        <v>28336.202229999999</v>
      </c>
      <c r="K51" s="481">
        <v>-110584.390763918</v>
      </c>
      <c r="L51" s="481">
        <v>0</v>
      </c>
      <c r="M51" s="481">
        <v>0</v>
      </c>
      <c r="N51" s="431"/>
      <c r="O51" s="431"/>
      <c r="P51" s="432"/>
      <c r="Q51" s="433"/>
      <c r="R51" s="431"/>
      <c r="S51" s="431"/>
      <c r="T51" s="86"/>
      <c r="U51" s="433"/>
      <c r="V51" s="431"/>
      <c r="W51" s="431"/>
      <c r="X51" s="86">
        <f t="shared" si="51"/>
        <v>0</v>
      </c>
      <c r="Y51" s="433">
        <f t="shared" si="45"/>
        <v>0</v>
      </c>
      <c r="Z51" s="431"/>
      <c r="AA51" s="431"/>
      <c r="AB51" s="86"/>
      <c r="AC51" s="433"/>
      <c r="AD51" s="27">
        <f t="shared" si="48"/>
        <v>0</v>
      </c>
      <c r="AE51" s="27">
        <f t="shared" si="49"/>
        <v>0</v>
      </c>
      <c r="AF51" s="67">
        <f t="shared" ref="AF51" si="54">IFERROR(AE51/AD51-1,0)</f>
        <v>0</v>
      </c>
      <c r="AG51" s="103">
        <f t="shared" ref="AG51" si="55">AE51-AD51</f>
        <v>0</v>
      </c>
    </row>
    <row r="52" spans="1:33" ht="15" thickBot="1">
      <c r="A52" s="409" t="s">
        <v>502</v>
      </c>
      <c r="B52" s="410"/>
      <c r="C52" s="482">
        <f>C44-SUM(C45:C51)</f>
        <v>78723</v>
      </c>
      <c r="D52" s="482">
        <f>D44-SUM(D45:D51)</f>
        <v>80544.357089236029</v>
      </c>
      <c r="E52" s="482">
        <f t="shared" ref="E52:G52" si="56">E44-SUM(E45:E51)</f>
        <v>94617.149773757468</v>
      </c>
      <c r="F52" s="482">
        <f>F44-SUM(F45:F51)</f>
        <v>101561.89191249703</v>
      </c>
      <c r="G52" s="482">
        <f t="shared" si="56"/>
        <v>84056.964548076503</v>
      </c>
      <c r="H52" s="482">
        <f>H44-SUM(H45:H51)</f>
        <v>46331.677970303972</v>
      </c>
      <c r="I52" s="482">
        <f t="shared" ref="I52:L52" si="57">I44-SUM(I45:I51)</f>
        <v>22014.294035117142</v>
      </c>
      <c r="J52" s="482">
        <f t="shared" si="57"/>
        <v>7990.9613684409251</v>
      </c>
      <c r="K52" s="482">
        <f t="shared" si="57"/>
        <v>15173.008459606499</v>
      </c>
      <c r="L52" s="482">
        <f t="shared" si="57"/>
        <v>6005</v>
      </c>
      <c r="M52" s="484">
        <v>63180.4082839658</v>
      </c>
      <c r="N52" s="106">
        <f t="shared" ref="N52:O52" si="58">N44-SUM(N45:N51)</f>
        <v>1258.242681833879</v>
      </c>
      <c r="O52" s="106">
        <f t="shared" si="58"/>
        <v>8595.2688342508482</v>
      </c>
      <c r="P52" s="73">
        <f>O52/N52-1</f>
        <v>5.8311693430422418</v>
      </c>
      <c r="Q52" s="105">
        <f>O52-N52</f>
        <v>7337.0261524169691</v>
      </c>
      <c r="R52" s="106">
        <v>17549.757318166121</v>
      </c>
      <c r="S52" s="106">
        <v>17549.757318166121</v>
      </c>
      <c r="T52" s="73">
        <f>S52/R52-1</f>
        <v>0</v>
      </c>
      <c r="U52" s="105">
        <f>S52-R52</f>
        <v>0</v>
      </c>
      <c r="V52" s="106">
        <v>16800.127992625508</v>
      </c>
      <c r="W52" s="106">
        <v>16800.127992625508</v>
      </c>
      <c r="X52" s="73">
        <f>W52/V52-1</f>
        <v>0</v>
      </c>
      <c r="Y52" s="105">
        <f>W52-V52</f>
        <v>0</v>
      </c>
      <c r="Z52" s="106">
        <v>23560.942363768965</v>
      </c>
      <c r="AA52" s="106">
        <f t="shared" ref="AA52" si="59">AA44-SUM(AA45:AA51)</f>
        <v>-4519.7355504004499</v>
      </c>
      <c r="AB52" s="73">
        <f>AA52/Z52-1</f>
        <v>-1.1918316967385274</v>
      </c>
      <c r="AC52" s="105">
        <f>AA52-Z52</f>
        <v>-28080.677914169413</v>
      </c>
      <c r="AD52" s="106">
        <f>AD44-SUM(AD45:AD51)</f>
        <v>1258.242681833879</v>
      </c>
      <c r="AE52" s="106">
        <f>AE44-SUM(AE45:AE51)</f>
        <v>8595.2688342508482</v>
      </c>
      <c r="AF52" s="73">
        <f>AE52/AD52-1</f>
        <v>5.8311693430422418</v>
      </c>
      <c r="AG52" s="105">
        <f>AE52-AD52</f>
        <v>7337.0261524169691</v>
      </c>
    </row>
    <row r="53" spans="1:33" s="357" customFormat="1">
      <c r="A53" s="407" t="s">
        <v>503</v>
      </c>
      <c r="B53" s="407"/>
      <c r="C53" s="10">
        <f>C52/C8</f>
        <v>0.30043506468724956</v>
      </c>
      <c r="D53" s="10">
        <f t="shared" ref="D53:L53" si="60">D52/D8</f>
        <v>0.25756462483513887</v>
      </c>
      <c r="E53" s="10">
        <f t="shared" si="60"/>
        <v>0.21816477182557248</v>
      </c>
      <c r="F53" s="10">
        <f t="shared" si="60"/>
        <v>0.24565502006975018</v>
      </c>
      <c r="G53" s="10">
        <f t="shared" si="60"/>
        <v>0.21157424003965966</v>
      </c>
      <c r="H53" s="10">
        <f t="shared" si="60"/>
        <v>0.12838777434269893</v>
      </c>
      <c r="I53" s="10">
        <f t="shared" si="60"/>
        <v>6.4733453801847654E-2</v>
      </c>
      <c r="J53" s="10">
        <f t="shared" si="60"/>
        <v>2.6140207184488555E-2</v>
      </c>
      <c r="K53" s="10">
        <f t="shared" si="60"/>
        <v>4.7981491790271676E-2</v>
      </c>
      <c r="L53" s="10">
        <f t="shared" si="60"/>
        <v>2.4549545227983059E-2</v>
      </c>
      <c r="M53" s="10">
        <v>0.20095442461733248</v>
      </c>
      <c r="N53" s="10">
        <f t="shared" ref="N53:O53" si="61">N52/N8</f>
        <v>2.897558147537373E-2</v>
      </c>
      <c r="O53" s="10">
        <f t="shared" si="61"/>
        <v>0.13802561036485875</v>
      </c>
      <c r="P53" s="10"/>
      <c r="Q53" s="63">
        <f>(O53-N53)*100</f>
        <v>10.905002888948502</v>
      </c>
      <c r="R53" s="10">
        <v>0.22933137721461086</v>
      </c>
      <c r="S53" s="10">
        <v>0.22933137721461086</v>
      </c>
      <c r="T53" s="10"/>
      <c r="U53" s="63">
        <f>(S53-R53)*100</f>
        <v>0</v>
      </c>
      <c r="V53" s="10">
        <v>0.2085880819310329</v>
      </c>
      <c r="W53" s="10">
        <v>0.2085880819310329</v>
      </c>
      <c r="X53" s="10"/>
      <c r="Y53" s="63">
        <f>(W53-V53)*100</f>
        <v>0</v>
      </c>
      <c r="Z53" s="10">
        <v>0.14975112910350502</v>
      </c>
      <c r="AA53" s="10">
        <f>AA52/AA8</f>
        <v>2.8775718008201348E-2</v>
      </c>
      <c r="AB53" s="10"/>
      <c r="AC53" s="63">
        <f>(AA53-Z53)*100</f>
        <v>-12.097541109530367</v>
      </c>
      <c r="AD53" s="10">
        <f>AD52/AD8</f>
        <v>2.897558147537373E-2</v>
      </c>
      <c r="AE53" s="10">
        <f>AE52/AE8</f>
        <v>0.13802561036485875</v>
      </c>
      <c r="AF53" s="10"/>
      <c r="AG53" s="63">
        <f>(AE53-AD53)*100</f>
        <v>10.905002888948502</v>
      </c>
    </row>
    <row r="54" spans="1:33">
      <c r="S54" s="434"/>
    </row>
    <row r="55" spans="1:33">
      <c r="S55" s="434"/>
      <c r="Z55" s="357"/>
      <c r="AA55"/>
      <c r="AB55"/>
    </row>
    <row r="56" spans="1:33">
      <c r="S56" s="434"/>
      <c r="Z56" s="357"/>
      <c r="AA56"/>
      <c r="AB56"/>
      <c r="AC56"/>
      <c r="AD56"/>
      <c r="AE56"/>
      <c r="AF56"/>
      <c r="AG56"/>
    </row>
    <row r="57" spans="1:33">
      <c r="Z57" s="357"/>
      <c r="AA57"/>
      <c r="AB57"/>
      <c r="AC57"/>
      <c r="AD57"/>
      <c r="AE57"/>
      <c r="AF57"/>
      <c r="AG57"/>
    </row>
    <row r="58" spans="1:33">
      <c r="Z58" s="357"/>
      <c r="AA58"/>
      <c r="AB58"/>
    </row>
    <row r="59" spans="1:33">
      <c r="Z59" s="357"/>
      <c r="AA59"/>
      <c r="AB59"/>
    </row>
  </sheetData>
  <pageMargins left="0.511811024" right="0.511811024" top="0.78740157499999996" bottom="0.78740157499999996" header="0.31496062000000002" footer="0.31496062000000002"/>
  <pageSetup paperSize="9" scale="62" orientation="landscape" r:id="rId1"/>
  <ignoredErrors>
    <ignoredError sqref="T49" evalError="1"/>
    <ignoredError sqref="AD4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88671875" customWidth="1"/>
    <col min="6" max="6" width="1.5546875" customWidth="1"/>
    <col min="7" max="7" width="10.5546875" bestFit="1" customWidth="1"/>
    <col min="8" max="8" width="1.33203125" customWidth="1"/>
    <col min="9" max="9" width="9.6640625" bestFit="1" customWidth="1"/>
    <col min="10" max="10" width="9.109375" hidden="1" customWidth="1"/>
    <col min="11" max="11" width="9.5546875" hidden="1" customWidth="1"/>
    <col min="12" max="12" width="11.109375" hidden="1" customWidth="1"/>
    <col min="13" max="13" width="13.33203125" hidden="1" customWidth="1"/>
    <col min="14" max="14" width="15.5546875" hidden="1" customWidth="1"/>
    <col min="15" max="15" width="9.5546875" hidden="1" customWidth="1"/>
    <col min="16" max="17" width="9.33203125" hidden="1" customWidth="1"/>
    <col min="18" max="18" width="9.664062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" thickBot="1">
      <c r="A3" s="306"/>
      <c r="B3" s="307"/>
      <c r="C3" s="498" t="s">
        <v>264</v>
      </c>
      <c r="D3" s="498"/>
      <c r="E3" s="498"/>
      <c r="F3" s="307"/>
      <c r="G3" s="499" t="s">
        <v>265</v>
      </c>
      <c r="H3" s="499"/>
      <c r="I3" s="499"/>
      <c r="L3" t="s">
        <v>319</v>
      </c>
      <c r="N3" s="308">
        <v>-6461</v>
      </c>
      <c r="O3" s="309">
        <v>-11194</v>
      </c>
      <c r="P3" s="308">
        <v>-326</v>
      </c>
    </row>
    <row r="4" spans="1:17" ht="15" thickBot="1">
      <c r="A4" s="306"/>
      <c r="B4" s="307"/>
      <c r="C4" s="307"/>
      <c r="D4" s="310"/>
      <c r="E4" s="311"/>
      <c r="F4" s="307"/>
      <c r="G4" s="306"/>
      <c r="H4" s="310"/>
      <c r="I4" s="312"/>
      <c r="L4" t="s">
        <v>320</v>
      </c>
      <c r="N4" s="308">
        <v>-6461</v>
      </c>
      <c r="O4" s="309">
        <v>-11194</v>
      </c>
      <c r="P4" s="308">
        <v>-326</v>
      </c>
    </row>
    <row r="5" spans="1:17" ht="15" thickBot="1">
      <c r="A5" s="306"/>
      <c r="B5" s="307"/>
      <c r="C5" s="313">
        <v>2014</v>
      </c>
      <c r="D5" s="307"/>
      <c r="E5" s="313">
        <v>2013</v>
      </c>
      <c r="F5" s="307"/>
      <c r="G5" s="313">
        <v>2014</v>
      </c>
      <c r="H5" s="307"/>
      <c r="I5" s="313">
        <v>2013</v>
      </c>
      <c r="L5" t="s">
        <v>321</v>
      </c>
      <c r="M5" t="s">
        <v>322</v>
      </c>
      <c r="N5" s="95">
        <v>5913</v>
      </c>
      <c r="O5" s="95"/>
    </row>
    <row r="6" spans="1:17">
      <c r="A6" s="306"/>
      <c r="B6" s="307"/>
      <c r="C6" s="307"/>
      <c r="D6" s="307"/>
      <c r="E6" s="307"/>
      <c r="F6" s="307"/>
      <c r="G6" s="306"/>
      <c r="H6" s="307"/>
      <c r="I6" s="306"/>
      <c r="M6" s="314" t="s">
        <v>323</v>
      </c>
      <c r="N6" s="315">
        <f>368+79</f>
        <v>447</v>
      </c>
      <c r="O6" s="95" t="s">
        <v>324</v>
      </c>
    </row>
    <row r="7" spans="1:17">
      <c r="A7" s="316" t="s">
        <v>8</v>
      </c>
      <c r="B7" s="307"/>
      <c r="C7" s="307"/>
      <c r="D7" s="307"/>
      <c r="E7" s="307"/>
      <c r="F7" s="307"/>
      <c r="G7" s="306"/>
      <c r="H7" s="307"/>
      <c r="I7" s="306"/>
      <c r="M7" t="s">
        <v>325</v>
      </c>
      <c r="N7" s="95">
        <v>210</v>
      </c>
      <c r="O7" s="95"/>
    </row>
    <row r="8" spans="1:17">
      <c r="A8" s="317" t="s">
        <v>9</v>
      </c>
      <c r="B8" s="307"/>
      <c r="C8" s="318">
        <v>-5403</v>
      </c>
      <c r="D8" s="318"/>
      <c r="E8" s="319">
        <v>-7721</v>
      </c>
      <c r="F8" s="318"/>
      <c r="G8" s="318">
        <v>-3984</v>
      </c>
      <c r="H8" s="318"/>
      <c r="I8" s="319">
        <v>-4678</v>
      </c>
      <c r="M8" t="s">
        <v>326</v>
      </c>
      <c r="N8" s="95"/>
      <c r="O8" s="95"/>
    </row>
    <row r="9" spans="1:17">
      <c r="A9" s="306"/>
      <c r="B9" s="307"/>
      <c r="C9" s="318"/>
      <c r="D9" s="318"/>
      <c r="E9" s="318"/>
      <c r="F9" s="318"/>
      <c r="G9" s="318"/>
      <c r="H9" s="318"/>
      <c r="I9" s="318"/>
      <c r="M9" t="s">
        <v>77</v>
      </c>
      <c r="N9" s="95">
        <f>299-211</f>
        <v>88</v>
      </c>
      <c r="O9" s="95"/>
      <c r="P9" s="320">
        <f>P16+N5+N7+N9</f>
        <v>-39</v>
      </c>
    </row>
    <row r="10" spans="1:17">
      <c r="A10" s="316" t="s">
        <v>10</v>
      </c>
      <c r="B10" s="307"/>
      <c r="C10" s="318"/>
      <c r="D10" s="318"/>
      <c r="E10" s="318"/>
      <c r="F10" s="318"/>
      <c r="G10" s="318"/>
      <c r="H10" s="318"/>
      <c r="I10" s="318"/>
      <c r="N10" s="95">
        <f>SUM(N5:N9)</f>
        <v>6658</v>
      </c>
      <c r="O10" s="95"/>
      <c r="P10" s="320">
        <f>N4+N5+N7</f>
        <v>-338</v>
      </c>
      <c r="Q10" t="s">
        <v>327</v>
      </c>
    </row>
    <row r="11" spans="1:17">
      <c r="A11" s="317" t="s">
        <v>11</v>
      </c>
      <c r="B11" s="307"/>
      <c r="C11" s="318"/>
      <c r="D11" s="318"/>
      <c r="E11" s="318"/>
      <c r="F11" s="318"/>
      <c r="G11" s="318">
        <v>3006</v>
      </c>
      <c r="H11" s="318"/>
      <c r="I11" s="321">
        <v>1670</v>
      </c>
      <c r="J11" s="304" t="s">
        <v>328</v>
      </c>
      <c r="M11" t="s">
        <v>329</v>
      </c>
      <c r="N11" t="s">
        <v>330</v>
      </c>
      <c r="O11">
        <v>5838</v>
      </c>
    </row>
    <row r="12" spans="1:17">
      <c r="A12" s="317" t="s">
        <v>331</v>
      </c>
      <c r="B12" s="307"/>
      <c r="C12" s="318"/>
      <c r="D12" s="318"/>
      <c r="E12" s="318"/>
      <c r="F12" s="318"/>
      <c r="G12" s="318">
        <v>940</v>
      </c>
      <c r="H12" s="318"/>
      <c r="I12" s="322">
        <v>732</v>
      </c>
      <c r="M12" s="314" t="s">
        <v>332</v>
      </c>
      <c r="N12" s="314"/>
    </row>
    <row r="13" spans="1:17">
      <c r="A13" s="317" t="s">
        <v>12</v>
      </c>
      <c r="B13" s="307"/>
      <c r="C13" s="318"/>
      <c r="D13" s="318"/>
      <c r="E13" s="318"/>
      <c r="F13" s="318"/>
      <c r="G13" s="318">
        <v>-874</v>
      </c>
      <c r="H13" s="318"/>
      <c r="I13" s="322">
        <v>602</v>
      </c>
      <c r="M13" s="314" t="s">
        <v>333</v>
      </c>
      <c r="N13" s="314">
        <v>180</v>
      </c>
    </row>
    <row r="14" spans="1:17">
      <c r="A14" s="317" t="s">
        <v>45</v>
      </c>
      <c r="B14" s="307"/>
      <c r="C14" s="318"/>
      <c r="D14" s="318"/>
      <c r="E14" s="318"/>
      <c r="F14" s="318"/>
      <c r="G14" s="318">
        <v>971</v>
      </c>
      <c r="H14" s="318"/>
      <c r="I14" s="321">
        <v>1350</v>
      </c>
      <c r="M14" s="314" t="s">
        <v>334</v>
      </c>
      <c r="N14" s="314">
        <v>28</v>
      </c>
    </row>
    <row r="15" spans="1:17">
      <c r="A15" s="306" t="s">
        <v>13</v>
      </c>
      <c r="B15" s="307"/>
      <c r="C15" s="318"/>
      <c r="D15" s="318"/>
      <c r="E15" s="318"/>
      <c r="F15" s="318"/>
      <c r="G15" s="318">
        <v>-175</v>
      </c>
      <c r="H15" s="318"/>
      <c r="I15" s="322">
        <v>54</v>
      </c>
      <c r="M15" s="314" t="s">
        <v>335</v>
      </c>
      <c r="N15" s="314">
        <v>3</v>
      </c>
    </row>
    <row r="16" spans="1:17">
      <c r="A16" s="323" t="s">
        <v>336</v>
      </c>
      <c r="B16" s="307"/>
      <c r="C16" s="318"/>
      <c r="D16" s="318"/>
      <c r="E16" s="318"/>
      <c r="F16" s="318"/>
      <c r="G16" s="318"/>
      <c r="H16" s="318"/>
      <c r="I16" s="322"/>
      <c r="M16" s="314"/>
      <c r="N16" s="314">
        <f>SUM(N13:N15)</f>
        <v>211</v>
      </c>
      <c r="P16" s="320">
        <f>N4+N16</f>
        <v>-6250</v>
      </c>
    </row>
    <row r="17" spans="1:16">
      <c r="A17" s="317" t="s">
        <v>337</v>
      </c>
      <c r="B17" s="307"/>
      <c r="C17" s="318">
        <v>5189</v>
      </c>
      <c r="D17" s="318"/>
      <c r="E17" s="319">
        <v>7607</v>
      </c>
      <c r="F17" s="318"/>
      <c r="G17" s="318"/>
      <c r="H17" s="318"/>
      <c r="I17" s="322"/>
    </row>
    <row r="18" spans="1:16">
      <c r="A18" s="317" t="s">
        <v>15</v>
      </c>
      <c r="B18" s="307"/>
      <c r="C18" s="318"/>
      <c r="D18" s="318"/>
      <c r="E18" s="319"/>
      <c r="F18" s="318"/>
      <c r="G18" s="318">
        <v>5699</v>
      </c>
      <c r="H18" s="318"/>
      <c r="I18" s="321">
        <v>1138</v>
      </c>
      <c r="M18" t="s">
        <v>338</v>
      </c>
      <c r="N18">
        <v>-712</v>
      </c>
    </row>
    <row r="19" spans="1:16">
      <c r="A19" s="317" t="s">
        <v>339</v>
      </c>
      <c r="B19" s="307"/>
      <c r="C19" s="318"/>
      <c r="D19" s="318"/>
      <c r="E19" s="319"/>
      <c r="F19" s="318"/>
      <c r="G19" s="318">
        <v>1897</v>
      </c>
      <c r="H19" s="318"/>
      <c r="I19" s="286"/>
    </row>
    <row r="20" spans="1:16">
      <c r="A20" s="317" t="s">
        <v>16</v>
      </c>
      <c r="B20" s="307"/>
      <c r="C20" s="318"/>
      <c r="D20" s="318"/>
      <c r="E20" s="318"/>
      <c r="F20" s="318"/>
      <c r="G20" s="318">
        <v>1170</v>
      </c>
      <c r="H20" s="318"/>
      <c r="I20" s="324">
        <v>1353</v>
      </c>
      <c r="M20" t="s">
        <v>340</v>
      </c>
      <c r="N20">
        <v>3857</v>
      </c>
    </row>
    <row r="21" spans="1:16">
      <c r="A21" s="317" t="s">
        <v>17</v>
      </c>
      <c r="B21" s="307"/>
      <c r="C21" s="318"/>
      <c r="D21" s="318"/>
      <c r="E21" s="318">
        <v>1</v>
      </c>
      <c r="F21" s="318"/>
      <c r="G21" s="318">
        <v>5</v>
      </c>
      <c r="H21" s="318"/>
      <c r="I21" s="325">
        <v>71</v>
      </c>
      <c r="J21" s="304" t="s">
        <v>341</v>
      </c>
      <c r="M21" t="s">
        <v>342</v>
      </c>
      <c r="N21">
        <f>130810+22726</f>
        <v>153536</v>
      </c>
    </row>
    <row r="22" spans="1:16">
      <c r="A22" s="306"/>
      <c r="B22" s="307"/>
      <c r="C22" s="318">
        <f>SUM(C8:C21)</f>
        <v>-214</v>
      </c>
      <c r="D22" s="318"/>
      <c r="E22" s="318">
        <f>SUM(E8:E21)</f>
        <v>-113</v>
      </c>
      <c r="F22" s="318"/>
      <c r="G22" s="318">
        <f>SUM(G8:G21)</f>
        <v>8655</v>
      </c>
      <c r="H22" s="318"/>
      <c r="I22" s="318">
        <f>SUM(I8:I21)</f>
        <v>2292</v>
      </c>
      <c r="M22" t="s">
        <v>343</v>
      </c>
      <c r="N22">
        <f>14259+1043</f>
        <v>15302</v>
      </c>
    </row>
    <row r="23" spans="1:16">
      <c r="A23" s="306"/>
      <c r="B23" s="307"/>
      <c r="C23" s="318"/>
      <c r="D23" s="318"/>
      <c r="E23" s="318"/>
      <c r="F23" s="318"/>
      <c r="G23" s="318"/>
      <c r="H23" s="318"/>
      <c r="I23" s="318"/>
      <c r="M23" t="s">
        <v>344</v>
      </c>
      <c r="N23">
        <v>-5426</v>
      </c>
    </row>
    <row r="24" spans="1:16">
      <c r="A24" s="306"/>
      <c r="B24" s="307"/>
      <c r="C24" s="318"/>
      <c r="D24" s="318"/>
      <c r="E24" s="318"/>
      <c r="F24" s="318"/>
      <c r="G24" s="318"/>
      <c r="H24" s="318"/>
      <c r="I24" s="318"/>
      <c r="K24">
        <v>8171</v>
      </c>
      <c r="L24" t="s">
        <v>345</v>
      </c>
      <c r="M24" t="s">
        <v>346</v>
      </c>
      <c r="N24">
        <v>-755</v>
      </c>
    </row>
    <row r="25" spans="1:16">
      <c r="A25" s="316" t="s">
        <v>18</v>
      </c>
      <c r="B25" s="307"/>
      <c r="C25" s="318"/>
      <c r="D25" s="318"/>
      <c r="E25" s="318"/>
      <c r="F25" s="318"/>
      <c r="G25" s="318"/>
      <c r="H25" s="318"/>
      <c r="I25" s="318"/>
      <c r="K25" t="s">
        <v>347</v>
      </c>
      <c r="M25" t="s">
        <v>348</v>
      </c>
      <c r="N25">
        <v>-2464</v>
      </c>
    </row>
    <row r="26" spans="1:16">
      <c r="A26" s="317" t="s">
        <v>349</v>
      </c>
      <c r="B26" s="307"/>
      <c r="C26" s="318">
        <v>0</v>
      </c>
      <c r="D26" s="318"/>
      <c r="E26" s="318"/>
      <c r="F26" s="318"/>
      <c r="G26" s="318">
        <v>42846</v>
      </c>
      <c r="H26" s="318"/>
      <c r="I26" s="326">
        <v>15554</v>
      </c>
      <c r="J26" s="62"/>
      <c r="K26" s="95">
        <v>-27574</v>
      </c>
      <c r="L26" s="320">
        <v>15554</v>
      </c>
      <c r="M26" t="s">
        <v>77</v>
      </c>
      <c r="O26" t="s">
        <v>350</v>
      </c>
      <c r="P26" t="s">
        <v>351</v>
      </c>
    </row>
    <row r="27" spans="1:16">
      <c r="A27" s="317" t="s">
        <v>19</v>
      </c>
      <c r="B27" s="307"/>
      <c r="C27" s="318">
        <v>0</v>
      </c>
      <c r="D27" s="318"/>
      <c r="E27" s="318"/>
      <c r="F27" s="318"/>
      <c r="G27" s="318">
        <v>-21961</v>
      </c>
      <c r="H27" s="318"/>
      <c r="I27" s="326">
        <v>-34112</v>
      </c>
      <c r="J27" s="62"/>
      <c r="K27" s="95">
        <v>-32816</v>
      </c>
      <c r="L27" s="320">
        <v>-34112</v>
      </c>
      <c r="M27" t="s">
        <v>352</v>
      </c>
      <c r="O27">
        <v>83</v>
      </c>
    </row>
    <row r="28" spans="1:16">
      <c r="A28" s="317" t="s">
        <v>20</v>
      </c>
      <c r="B28" s="307"/>
      <c r="C28" s="318">
        <v>-21</v>
      </c>
      <c r="D28" s="318"/>
      <c r="E28" s="327">
        <v>-50</v>
      </c>
      <c r="F28" s="318"/>
      <c r="G28" s="318">
        <v>-755</v>
      </c>
      <c r="H28" s="318"/>
      <c r="I28" s="327">
        <v>-876</v>
      </c>
      <c r="J28" s="62"/>
      <c r="K28" s="328">
        <v>-1294</v>
      </c>
      <c r="L28" s="320">
        <v>-876</v>
      </c>
      <c r="M28" t="s">
        <v>353</v>
      </c>
      <c r="O28">
        <f>630</f>
        <v>630</v>
      </c>
    </row>
    <row r="29" spans="1:16">
      <c r="A29" s="317" t="s">
        <v>53</v>
      </c>
      <c r="B29" s="307"/>
      <c r="C29" s="318">
        <v>248</v>
      </c>
      <c r="D29" s="318"/>
      <c r="E29" s="326">
        <v>-2019</v>
      </c>
      <c r="F29" s="318"/>
      <c r="G29" s="318">
        <v>-1753</v>
      </c>
      <c r="H29" s="318"/>
      <c r="I29" s="326">
        <v>-5569</v>
      </c>
      <c r="J29" s="62"/>
      <c r="K29" s="95">
        <v>-3440</v>
      </c>
      <c r="L29" s="320">
        <v>-5569</v>
      </c>
      <c r="M29" t="s">
        <v>97</v>
      </c>
      <c r="O29">
        <v>8</v>
      </c>
    </row>
    <row r="30" spans="1:16">
      <c r="A30" s="317" t="s">
        <v>21</v>
      </c>
      <c r="B30" s="307"/>
      <c r="C30" s="318">
        <v>35</v>
      </c>
      <c r="D30" s="318"/>
      <c r="E30" s="327">
        <v>-75</v>
      </c>
      <c r="F30" s="318"/>
      <c r="G30" s="318">
        <v>5542</v>
      </c>
      <c r="H30" s="318"/>
      <c r="I30" s="326">
        <v>1512</v>
      </c>
      <c r="J30" s="62"/>
      <c r="K30" s="95">
        <f>1639+451</f>
        <v>2090</v>
      </c>
      <c r="L30" s="320">
        <v>1512</v>
      </c>
      <c r="M30" t="s">
        <v>354</v>
      </c>
      <c r="O30">
        <v>31</v>
      </c>
    </row>
    <row r="31" spans="1:16">
      <c r="A31" s="317" t="s">
        <v>355</v>
      </c>
      <c r="B31" s="307"/>
      <c r="C31" s="318">
        <v>0</v>
      </c>
      <c r="D31" s="318"/>
      <c r="E31" s="327">
        <v>3</v>
      </c>
      <c r="F31" s="318"/>
      <c r="G31" s="318">
        <v>-1893</v>
      </c>
      <c r="H31" s="318"/>
      <c r="I31" s="326">
        <v>2318</v>
      </c>
      <c r="J31" s="62"/>
      <c r="K31" s="95">
        <v>1863</v>
      </c>
      <c r="L31" s="320">
        <v>2318</v>
      </c>
      <c r="M31" t="s">
        <v>130</v>
      </c>
      <c r="O31">
        <v>315</v>
      </c>
    </row>
    <row r="32" spans="1:16">
      <c r="A32" s="317" t="s">
        <v>22</v>
      </c>
      <c r="B32" s="307"/>
      <c r="C32" s="329">
        <v>0</v>
      </c>
      <c r="D32" s="330"/>
      <c r="E32" s="331">
        <v>3</v>
      </c>
      <c r="F32" s="330"/>
      <c r="G32" s="329">
        <v>-3024</v>
      </c>
      <c r="H32" s="330"/>
      <c r="I32" s="327">
        <v>-14</v>
      </c>
      <c r="J32" s="62"/>
      <c r="K32" s="328">
        <v>3318</v>
      </c>
      <c r="L32" s="320">
        <v>-14</v>
      </c>
      <c r="M32" t="s">
        <v>356</v>
      </c>
      <c r="O32">
        <f>-86-1982</f>
        <v>-2068</v>
      </c>
    </row>
    <row r="33" spans="1:16">
      <c r="A33" s="306"/>
      <c r="B33" s="307"/>
      <c r="C33" s="318">
        <f>SUM(C22:C32)</f>
        <v>48</v>
      </c>
      <c r="D33" s="307"/>
      <c r="E33" s="318">
        <f>SUM(E22:E32)</f>
        <v>-2251</v>
      </c>
      <c r="F33" s="307"/>
      <c r="G33" s="318">
        <f>SUM(G22:G32)</f>
        <v>27657</v>
      </c>
      <c r="H33" s="307"/>
      <c r="I33" s="318">
        <f>SUM(I22:I32)</f>
        <v>-18895</v>
      </c>
      <c r="M33" t="s">
        <v>357</v>
      </c>
      <c r="O33">
        <v>-192</v>
      </c>
    </row>
    <row r="34" spans="1:16" ht="15" thickBot="1">
      <c r="A34" s="306"/>
      <c r="B34" s="307"/>
      <c r="C34" s="332"/>
      <c r="D34" s="307"/>
      <c r="E34" s="332"/>
      <c r="F34" s="307"/>
      <c r="G34" s="332"/>
      <c r="H34" s="307"/>
      <c r="I34" s="332"/>
      <c r="M34" t="s">
        <v>358</v>
      </c>
      <c r="O34">
        <v>-428</v>
      </c>
    </row>
    <row r="35" spans="1:16">
      <c r="A35" s="306" t="s">
        <v>359</v>
      </c>
      <c r="B35" s="307"/>
      <c r="C35" s="318"/>
      <c r="D35" s="307"/>
      <c r="E35" s="318"/>
      <c r="F35" s="307"/>
      <c r="G35" s="318">
        <f>-615+615</f>
        <v>0</v>
      </c>
      <c r="H35" s="307"/>
      <c r="I35" s="318"/>
      <c r="M35" t="s">
        <v>130</v>
      </c>
      <c r="O35">
        <f>-211+211-315</f>
        <v>-315</v>
      </c>
    </row>
    <row r="36" spans="1:16">
      <c r="A36" s="317" t="s">
        <v>23</v>
      </c>
      <c r="B36" s="307"/>
      <c r="C36" s="333"/>
      <c r="D36" s="334"/>
      <c r="E36" s="333"/>
      <c r="F36" s="333"/>
      <c r="G36" s="333">
        <v>-218</v>
      </c>
      <c r="H36" s="333"/>
      <c r="I36" s="333"/>
      <c r="L36" s="304"/>
      <c r="M36" t="s">
        <v>360</v>
      </c>
      <c r="O36">
        <v>-51</v>
      </c>
    </row>
    <row r="37" spans="1:16" ht="15" thickBot="1">
      <c r="A37" s="317" t="s">
        <v>24</v>
      </c>
      <c r="B37" s="307"/>
      <c r="C37" s="332"/>
      <c r="D37" s="307"/>
      <c r="E37" s="332"/>
      <c r="F37" s="332"/>
      <c r="G37" s="335"/>
      <c r="H37" s="332"/>
      <c r="I37" s="332">
        <v>-921</v>
      </c>
      <c r="J37" t="s">
        <v>361</v>
      </c>
      <c r="L37" s="328"/>
    </row>
    <row r="38" spans="1:16">
      <c r="A38" s="306"/>
      <c r="B38" s="307"/>
      <c r="C38" s="318"/>
      <c r="D38" s="307"/>
      <c r="E38" s="318"/>
      <c r="F38" s="307"/>
      <c r="G38" s="336"/>
      <c r="H38" s="307"/>
      <c r="I38" s="318"/>
    </row>
    <row r="39" spans="1:16" ht="15" thickBot="1">
      <c r="A39" s="316" t="s">
        <v>362</v>
      </c>
      <c r="B39" s="307"/>
      <c r="C39" s="332">
        <f>SUM(C33:C37)</f>
        <v>48</v>
      </c>
      <c r="D39" s="307"/>
      <c r="E39" s="332">
        <f>SUM(E33:E37)</f>
        <v>-2251</v>
      </c>
      <c r="F39" s="307"/>
      <c r="G39" s="332">
        <f>SUM(G33:G37)</f>
        <v>27439</v>
      </c>
      <c r="H39" s="307"/>
      <c r="I39" s="332">
        <f>SUM(I33:I37)</f>
        <v>-19816</v>
      </c>
    </row>
    <row r="40" spans="1:16">
      <c r="A40" s="306"/>
      <c r="B40" s="307"/>
      <c r="C40" s="318"/>
      <c r="D40" s="307"/>
      <c r="E40" s="318"/>
      <c r="F40" s="307"/>
      <c r="G40" s="318"/>
      <c r="H40" s="307"/>
      <c r="I40" s="318"/>
    </row>
    <row r="41" spans="1:16">
      <c r="A41" s="316" t="s">
        <v>25</v>
      </c>
      <c r="B41" s="307"/>
      <c r="C41" s="318"/>
      <c r="D41" s="307"/>
      <c r="E41" s="318"/>
      <c r="F41" s="307"/>
      <c r="G41" s="318"/>
      <c r="H41" s="307"/>
      <c r="I41" s="318"/>
      <c r="M41" s="314"/>
    </row>
    <row r="42" spans="1:16">
      <c r="A42" s="317" t="s">
        <v>363</v>
      </c>
      <c r="B42" s="307"/>
      <c r="C42" s="318"/>
      <c r="D42" s="318"/>
      <c r="E42" s="337"/>
      <c r="F42" s="318"/>
      <c r="G42" s="318"/>
      <c r="H42" s="318"/>
      <c r="I42" s="286"/>
      <c r="K42" t="s">
        <v>364</v>
      </c>
      <c r="M42" s="315"/>
      <c r="N42" s="95" t="s">
        <v>73</v>
      </c>
      <c r="O42" s="60" t="s">
        <v>75</v>
      </c>
    </row>
    <row r="43" spans="1:16">
      <c r="A43" s="317" t="s">
        <v>365</v>
      </c>
      <c r="B43" s="307"/>
      <c r="C43" s="318"/>
      <c r="D43" s="318"/>
      <c r="E43" s="337"/>
      <c r="F43" s="318"/>
      <c r="G43" s="318"/>
      <c r="H43" s="318"/>
      <c r="I43" s="321">
        <v>-146084</v>
      </c>
      <c r="K43" s="320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317" t="s">
        <v>367</v>
      </c>
      <c r="B44" s="307"/>
      <c r="C44" s="318"/>
      <c r="D44" s="318"/>
      <c r="E44" s="337"/>
      <c r="F44" s="318"/>
      <c r="G44" s="318"/>
      <c r="H44" s="318"/>
      <c r="I44" s="322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317" t="s">
        <v>369</v>
      </c>
      <c r="B45" s="307"/>
      <c r="C45" s="318"/>
      <c r="D45" s="318"/>
      <c r="E45" s="337"/>
      <c r="F45" s="318"/>
      <c r="G45" s="318"/>
      <c r="H45" s="318"/>
      <c r="I45" s="318"/>
    </row>
    <row r="46" spans="1:16">
      <c r="A46" s="317" t="s">
        <v>370</v>
      </c>
      <c r="B46" s="307"/>
      <c r="C46" s="318"/>
      <c r="D46" s="318"/>
      <c r="E46" s="318"/>
      <c r="F46" s="318"/>
      <c r="G46" s="318"/>
      <c r="H46" s="318"/>
      <c r="I46" s="318"/>
      <c r="M46" t="s">
        <v>371</v>
      </c>
    </row>
    <row r="47" spans="1:16">
      <c r="A47" s="317" t="s">
        <v>372</v>
      </c>
      <c r="B47" s="307"/>
      <c r="C47" s="318"/>
      <c r="D47" s="318"/>
      <c r="E47" s="318"/>
      <c r="F47" s="318"/>
      <c r="G47" s="318"/>
      <c r="H47" s="318"/>
      <c r="I47" s="318"/>
      <c r="M47" t="s">
        <v>373</v>
      </c>
      <c r="N47">
        <v>-76147</v>
      </c>
    </row>
    <row r="48" spans="1:16">
      <c r="A48" s="317" t="s">
        <v>374</v>
      </c>
      <c r="B48" s="307"/>
      <c r="C48" s="318"/>
      <c r="D48" s="318"/>
      <c r="E48" s="318"/>
      <c r="F48" s="318"/>
      <c r="G48" s="318">
        <v>867</v>
      </c>
      <c r="H48" s="318"/>
      <c r="I48" s="321">
        <v>-25040</v>
      </c>
      <c r="M48" t="s">
        <v>375</v>
      </c>
      <c r="N48">
        <v>-2747</v>
      </c>
    </row>
    <row r="49" spans="1:14">
      <c r="A49" s="317" t="s">
        <v>26</v>
      </c>
      <c r="B49" s="307"/>
      <c r="C49" s="318"/>
      <c r="D49" s="318"/>
      <c r="E49" s="318"/>
      <c r="F49" s="318"/>
      <c r="G49" s="318">
        <v>-782</v>
      </c>
      <c r="H49" s="318"/>
      <c r="I49" s="321">
        <v>-3163</v>
      </c>
      <c r="M49" t="s">
        <v>376</v>
      </c>
      <c r="N49">
        <v>9889</v>
      </c>
    </row>
    <row r="50" spans="1:14">
      <c r="A50" s="317" t="s">
        <v>377</v>
      </c>
      <c r="B50" s="307"/>
      <c r="C50" s="318"/>
      <c r="D50" s="318"/>
      <c r="E50" s="318"/>
      <c r="F50" s="318"/>
      <c r="G50" s="318">
        <v>395</v>
      </c>
      <c r="H50" s="318"/>
      <c r="I50" s="322">
        <v>163</v>
      </c>
      <c r="M50" t="s">
        <v>378</v>
      </c>
      <c r="N50">
        <v>-2618</v>
      </c>
    </row>
    <row r="51" spans="1:14">
      <c r="A51" s="317" t="s">
        <v>379</v>
      </c>
      <c r="B51" s="307"/>
      <c r="C51" s="318"/>
      <c r="D51" s="318"/>
      <c r="E51" s="318">
        <v>-15</v>
      </c>
      <c r="F51" s="318"/>
      <c r="G51" s="318">
        <v>-455</v>
      </c>
      <c r="H51" s="318"/>
      <c r="I51" s="338">
        <v>-1493</v>
      </c>
      <c r="M51" t="s">
        <v>380</v>
      </c>
      <c r="N51">
        <v>11023</v>
      </c>
    </row>
    <row r="52" spans="1:14" ht="15" thickBot="1">
      <c r="A52" s="317" t="s">
        <v>381</v>
      </c>
      <c r="B52" s="307"/>
      <c r="C52" s="309"/>
      <c r="D52" s="307"/>
      <c r="E52" s="339"/>
      <c r="F52" s="307"/>
      <c r="G52" s="340"/>
      <c r="H52" s="307"/>
      <c r="I52" s="340"/>
    </row>
    <row r="53" spans="1:14">
      <c r="A53" s="306"/>
      <c r="B53" s="307"/>
      <c r="C53" s="318"/>
      <c r="D53" s="307"/>
      <c r="E53" s="318"/>
      <c r="F53" s="307"/>
      <c r="G53" s="318"/>
      <c r="H53" s="307"/>
      <c r="I53" s="318"/>
      <c r="M53" t="s">
        <v>382</v>
      </c>
      <c r="N53">
        <f>N47+N49+N50+N51</f>
        <v>-57853</v>
      </c>
    </row>
    <row r="54" spans="1:14" ht="15" thickBot="1">
      <c r="A54" s="316" t="s">
        <v>383</v>
      </c>
      <c r="B54" s="307"/>
      <c r="C54" s="332">
        <f>SUM(C42:C52)</f>
        <v>0</v>
      </c>
      <c r="D54" s="307"/>
      <c r="E54" s="332">
        <f>SUM(E42:E52)</f>
        <v>-15</v>
      </c>
      <c r="F54" s="307"/>
      <c r="G54" s="332">
        <f>SUM(G42:G52)</f>
        <v>25</v>
      </c>
      <c r="H54" s="307"/>
      <c r="I54" s="332">
        <f>SUM(I42:I52)</f>
        <v>-174675</v>
      </c>
    </row>
    <row r="55" spans="1:14">
      <c r="A55" s="306"/>
      <c r="B55" s="307"/>
      <c r="C55" s="318"/>
      <c r="D55" s="307"/>
      <c r="E55" s="318"/>
      <c r="F55" s="307"/>
      <c r="G55" s="318"/>
      <c r="H55" s="307"/>
      <c r="I55" s="318"/>
    </row>
    <row r="56" spans="1:14" s="341" customFormat="1">
      <c r="A56" s="316" t="s">
        <v>27</v>
      </c>
      <c r="B56" s="307"/>
      <c r="C56" s="318"/>
      <c r="D56" s="307"/>
      <c r="E56" s="318"/>
      <c r="F56" s="307"/>
      <c r="G56" s="318"/>
      <c r="H56" s="307"/>
      <c r="I56" s="318"/>
      <c r="M56" s="341" t="s">
        <v>384</v>
      </c>
    </row>
    <row r="57" spans="1:14">
      <c r="A57" s="317" t="s">
        <v>385</v>
      </c>
      <c r="B57" s="307"/>
      <c r="C57" s="318">
        <v>1514</v>
      </c>
      <c r="D57" s="307"/>
      <c r="E57" s="318"/>
      <c r="F57" s="307"/>
      <c r="G57" s="318">
        <v>1514</v>
      </c>
      <c r="H57" s="307"/>
      <c r="I57" s="318"/>
      <c r="M57" s="95">
        <v>33984</v>
      </c>
    </row>
    <row r="58" spans="1:14">
      <c r="A58" s="317" t="s">
        <v>386</v>
      </c>
      <c r="B58" s="307"/>
      <c r="C58" s="318"/>
      <c r="D58" s="318"/>
      <c r="E58" s="318"/>
      <c r="F58" s="318"/>
      <c r="G58" s="318">
        <v>0</v>
      </c>
      <c r="H58" s="318"/>
      <c r="I58" s="342">
        <v>214379</v>
      </c>
    </row>
    <row r="59" spans="1:14">
      <c r="A59" s="317" t="s">
        <v>387</v>
      </c>
      <c r="B59" s="307"/>
      <c r="C59" s="318"/>
      <c r="D59" s="318"/>
      <c r="E59" s="318"/>
      <c r="F59" s="318"/>
      <c r="G59" s="318">
        <v>-23399</v>
      </c>
      <c r="H59" s="318"/>
      <c r="I59" s="342"/>
    </row>
    <row r="60" spans="1:14">
      <c r="A60" s="317" t="s">
        <v>388</v>
      </c>
      <c r="B60" s="307"/>
      <c r="C60" s="318"/>
      <c r="D60" s="318"/>
      <c r="E60" s="318"/>
      <c r="F60" s="318"/>
      <c r="G60" s="318"/>
      <c r="H60" s="318"/>
      <c r="I60" s="324"/>
      <c r="J60" s="304" t="s">
        <v>389</v>
      </c>
    </row>
    <row r="61" spans="1:14">
      <c r="A61" s="317" t="s">
        <v>28</v>
      </c>
      <c r="B61" s="307"/>
      <c r="C61" s="308"/>
      <c r="D61" s="318"/>
      <c r="E61" s="318"/>
      <c r="F61" s="318"/>
      <c r="G61" s="318"/>
      <c r="H61" s="318"/>
      <c r="I61" s="343"/>
    </row>
    <row r="62" spans="1:14" ht="15" thickBot="1">
      <c r="A62" s="306"/>
      <c r="B62" s="307"/>
      <c r="C62" s="332"/>
      <c r="D62" s="307"/>
      <c r="E62" s="332"/>
      <c r="F62" s="307"/>
      <c r="G62" s="332"/>
      <c r="H62" s="307"/>
      <c r="I62" s="344"/>
    </row>
    <row r="63" spans="1:14">
      <c r="A63" s="316" t="s">
        <v>390</v>
      </c>
      <c r="B63" s="307"/>
      <c r="C63" s="318">
        <f>SUM(C57:C62)</f>
        <v>1514</v>
      </c>
      <c r="D63" s="307"/>
      <c r="E63" s="318">
        <f>SUM(E57:E62)</f>
        <v>0</v>
      </c>
      <c r="F63" s="307"/>
      <c r="G63" s="318">
        <f>SUM(G57:G62)</f>
        <v>-21885</v>
      </c>
      <c r="H63" s="307"/>
      <c r="I63" s="318">
        <f>SUM(I57:I62)</f>
        <v>214379</v>
      </c>
    </row>
    <row r="64" spans="1:14" ht="15" thickBot="1">
      <c r="A64" s="306"/>
      <c r="B64" s="307"/>
      <c r="C64" s="332"/>
      <c r="D64" s="307"/>
      <c r="E64" s="332"/>
      <c r="F64" s="307"/>
      <c r="G64" s="332"/>
      <c r="H64" s="307"/>
      <c r="I64" s="332"/>
    </row>
    <row r="65" spans="1:18">
      <c r="A65" s="316" t="s">
        <v>29</v>
      </c>
      <c r="B65" s="307"/>
      <c r="C65" s="318">
        <f>C39+C54+C63</f>
        <v>1562</v>
      </c>
      <c r="D65" s="307"/>
      <c r="E65" s="318">
        <f>E39+E54+E63</f>
        <v>-2266</v>
      </c>
      <c r="F65" s="307"/>
      <c r="G65" s="318">
        <f>G39+G54+G63</f>
        <v>5579</v>
      </c>
      <c r="H65" s="307"/>
      <c r="I65" s="318">
        <f>I39+I54+I63</f>
        <v>19888</v>
      </c>
    </row>
    <row r="66" spans="1:18">
      <c r="A66" s="306"/>
      <c r="B66" s="307"/>
      <c r="C66" s="318"/>
      <c r="D66" s="307"/>
      <c r="E66" s="318"/>
      <c r="F66" s="307"/>
      <c r="G66" s="318"/>
      <c r="H66" s="307"/>
      <c r="I66" s="318"/>
    </row>
    <row r="67" spans="1:18" ht="15" thickBot="1">
      <c r="A67" s="316" t="s">
        <v>391</v>
      </c>
      <c r="B67" s="307"/>
      <c r="C67" s="332">
        <v>61</v>
      </c>
      <c r="D67" s="332"/>
      <c r="E67" s="332">
        <v>6347</v>
      </c>
      <c r="F67" s="332"/>
      <c r="G67" s="332">
        <v>46343</v>
      </c>
      <c r="H67" s="332"/>
      <c r="I67" s="332">
        <v>14664</v>
      </c>
    </row>
    <row r="68" spans="1:18">
      <c r="A68" s="306"/>
      <c r="B68" s="307"/>
      <c r="C68" s="318"/>
      <c r="D68" s="307"/>
      <c r="E68" s="318"/>
      <c r="F68" s="307"/>
      <c r="G68" s="318"/>
      <c r="H68" s="307"/>
      <c r="I68" s="318"/>
    </row>
    <row r="69" spans="1:18" ht="15" thickBot="1">
      <c r="A69" s="316" t="s">
        <v>392</v>
      </c>
      <c r="B69" s="307"/>
      <c r="C69" s="345">
        <f>SUM(C65:C67)</f>
        <v>1623</v>
      </c>
      <c r="D69" s="307"/>
      <c r="E69" s="345">
        <f>SUM(E65:E67)</f>
        <v>4081</v>
      </c>
      <c r="F69" s="307"/>
      <c r="G69" s="345">
        <f>SUM(G65:G67)</f>
        <v>51922</v>
      </c>
      <c r="H69" s="307"/>
      <c r="I69" s="345">
        <f>SUM(I65:I67)</f>
        <v>34552</v>
      </c>
    </row>
    <row r="70" spans="1:18" ht="15" thickTop="1">
      <c r="C70" s="95">
        <v>0</v>
      </c>
      <c r="G70" s="95">
        <v>0</v>
      </c>
    </row>
    <row r="71" spans="1:18">
      <c r="C71" s="320"/>
      <c r="G71" s="320">
        <f>G69-G70</f>
        <v>51922</v>
      </c>
    </row>
    <row r="72" spans="1:18">
      <c r="G72" s="60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95">
        <v>3163</v>
      </c>
      <c r="O78" s="95">
        <v>2717</v>
      </c>
      <c r="P78" s="95">
        <v>43</v>
      </c>
      <c r="Q78" s="95"/>
      <c r="R78" s="95">
        <f>SUM(N78:Q78)</f>
        <v>5923</v>
      </c>
    </row>
    <row r="79" spans="1:18">
      <c r="M79" t="s">
        <v>399</v>
      </c>
      <c r="N79" s="95">
        <v>1493</v>
      </c>
      <c r="O79" s="95">
        <v>232</v>
      </c>
      <c r="P79" s="95">
        <v>63</v>
      </c>
      <c r="Q79" s="95">
        <v>119</v>
      </c>
      <c r="R79" s="95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8"/>
  <sheetViews>
    <sheetView showGridLines="0" zoomScale="110" zoomScaleNormal="11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A2" sqref="A2"/>
    </sheetView>
  </sheetViews>
  <sheetFormatPr defaultColWidth="9.109375" defaultRowHeight="12" outlineLevelCol="1"/>
  <cols>
    <col min="1" max="3" width="2.6640625" style="443" customWidth="1"/>
    <col min="4" max="4" width="53.6640625" style="444" bestFit="1" customWidth="1"/>
    <col min="5" max="6" width="11.88671875" style="447" customWidth="1" outlineLevel="1"/>
    <col min="7" max="7" width="10.44140625" style="446" customWidth="1" outlineLevel="1"/>
    <col min="8" max="8" width="13.33203125" style="446" customWidth="1" outlineLevel="1"/>
    <col min="9" max="9" width="9.109375" style="447"/>
    <col min="10" max="10" width="11.5546875" style="447" bestFit="1" customWidth="1"/>
    <col min="11" max="16384" width="9.109375" style="447"/>
  </cols>
  <sheetData>
    <row r="1" spans="1:12" ht="90" customHeight="1" thickBot="1">
      <c r="E1" s="445"/>
      <c r="F1" s="445"/>
    </row>
    <row r="2" spans="1:12" ht="12.6" thickBot="1">
      <c r="A2" s="418" t="s">
        <v>407</v>
      </c>
      <c r="B2" s="419"/>
      <c r="C2" s="419"/>
      <c r="D2" s="412"/>
      <c r="E2" s="2">
        <v>44286</v>
      </c>
      <c r="F2" s="2">
        <v>44651</v>
      </c>
      <c r="G2" s="2" t="s">
        <v>0</v>
      </c>
      <c r="H2" s="2" t="s">
        <v>1</v>
      </c>
    </row>
    <row r="3" spans="1:12" ht="15.75" customHeight="1">
      <c r="A3" s="420" t="s">
        <v>30</v>
      </c>
      <c r="B3" s="413"/>
      <c r="C3" s="39"/>
      <c r="D3" s="39"/>
      <c r="E3" s="61"/>
      <c r="F3" s="57"/>
      <c r="G3" s="78"/>
      <c r="H3" s="79"/>
    </row>
    <row r="4" spans="1:12" ht="15.75" customHeight="1">
      <c r="A4" s="421"/>
      <c r="B4" s="422" t="s">
        <v>31</v>
      </c>
      <c r="C4" s="422"/>
      <c r="D4" s="422"/>
      <c r="E4" s="58"/>
      <c r="F4" s="58"/>
      <c r="G4" s="91"/>
      <c r="H4" s="93"/>
    </row>
    <row r="5" spans="1:12" ht="15.75" customHeight="1">
      <c r="A5" s="421"/>
      <c r="B5" s="422"/>
      <c r="C5" s="422"/>
      <c r="D5" s="422" t="s">
        <v>408</v>
      </c>
      <c r="E5" s="20">
        <v>94460</v>
      </c>
      <c r="F5" s="20">
        <v>80079</v>
      </c>
      <c r="G5" s="67">
        <f>F5/E5-1</f>
        <v>-0.15224433622697442</v>
      </c>
      <c r="H5" s="111">
        <f>F5-E5</f>
        <v>-14381</v>
      </c>
      <c r="J5" s="448"/>
      <c r="K5" s="449"/>
      <c r="L5" s="449"/>
    </row>
    <row r="6" spans="1:12">
      <c r="A6" s="421"/>
      <c r="B6" s="422"/>
      <c r="C6" s="422"/>
      <c r="D6" s="422" t="s">
        <v>409</v>
      </c>
      <c r="E6" s="20">
        <v>11480</v>
      </c>
      <c r="F6" s="20">
        <v>7972</v>
      </c>
      <c r="G6" s="67">
        <f t="shared" ref="G6" si="0">F6/E6-1</f>
        <v>-0.30557491289198602</v>
      </c>
      <c r="H6" s="111">
        <f t="shared" ref="H6:H9" si="1">F6-E6</f>
        <v>-3508</v>
      </c>
      <c r="J6" s="448"/>
      <c r="K6" s="450"/>
    </row>
    <row r="7" spans="1:12" ht="15.75" customHeight="1">
      <c r="A7" s="421"/>
      <c r="B7" s="422"/>
      <c r="C7" s="422"/>
      <c r="D7" s="422" t="s">
        <v>410</v>
      </c>
      <c r="E7" s="16">
        <v>0</v>
      </c>
      <c r="F7" s="64">
        <v>0</v>
      </c>
      <c r="G7" s="67">
        <f>IFERROR(F7/E7-1,0)</f>
        <v>0</v>
      </c>
      <c r="H7" s="111">
        <f t="shared" si="1"/>
        <v>0</v>
      </c>
      <c r="J7" s="448"/>
      <c r="K7" s="450"/>
    </row>
    <row r="8" spans="1:12" ht="15.75" customHeight="1">
      <c r="A8" s="421"/>
      <c r="B8" s="422"/>
      <c r="C8" s="422"/>
      <c r="D8" s="422" t="s">
        <v>411</v>
      </c>
      <c r="E8" s="16">
        <v>97766</v>
      </c>
      <c r="F8" s="20">
        <v>122988</v>
      </c>
      <c r="G8" s="67">
        <f t="shared" ref="G8:G9" si="2">IFERROR(F8/E8-1,0)</f>
        <v>0.2579833479941902</v>
      </c>
      <c r="H8" s="111">
        <f t="shared" si="1"/>
        <v>25222</v>
      </c>
      <c r="J8" s="448"/>
      <c r="K8" s="450"/>
    </row>
    <row r="9" spans="1:12">
      <c r="A9" s="421"/>
      <c r="B9" s="422"/>
      <c r="C9" s="422"/>
      <c r="D9" s="422" t="s">
        <v>412</v>
      </c>
      <c r="E9" s="20">
        <v>91147</v>
      </c>
      <c r="F9" s="20">
        <v>126134</v>
      </c>
      <c r="G9" s="67">
        <f t="shared" si="2"/>
        <v>0.38385245811710744</v>
      </c>
      <c r="H9" s="111">
        <f t="shared" si="1"/>
        <v>34987</v>
      </c>
      <c r="J9" s="448"/>
      <c r="K9" s="450"/>
    </row>
    <row r="10" spans="1:12">
      <c r="A10" s="421"/>
      <c r="B10" s="422"/>
      <c r="C10" s="422"/>
      <c r="D10" s="422" t="s">
        <v>413</v>
      </c>
      <c r="E10" s="20">
        <v>11028</v>
      </c>
      <c r="F10" s="20">
        <v>20164</v>
      </c>
      <c r="G10" s="67">
        <f>IFERROR(F10/E10-1,0)</f>
        <v>0.82843670656510704</v>
      </c>
      <c r="H10" s="111">
        <f>F10-E10</f>
        <v>9136</v>
      </c>
      <c r="J10" s="448"/>
      <c r="K10" s="450"/>
    </row>
    <row r="11" spans="1:12">
      <c r="A11" s="421"/>
      <c r="B11" s="422"/>
      <c r="C11" s="422"/>
      <c r="D11" s="422" t="s">
        <v>33</v>
      </c>
      <c r="E11" s="20">
        <v>31444</v>
      </c>
      <c r="F11" s="20">
        <v>33272</v>
      </c>
      <c r="G11" s="67">
        <f>IFERROR(F11/E11-1,0)</f>
        <v>5.8135097315863193E-2</v>
      </c>
      <c r="H11" s="111">
        <f>F11-E11</f>
        <v>1828</v>
      </c>
      <c r="J11" s="448"/>
      <c r="K11" s="450"/>
    </row>
    <row r="12" spans="1:12">
      <c r="A12" s="421"/>
      <c r="B12" s="422"/>
      <c r="C12" s="422"/>
      <c r="D12" s="422" t="s">
        <v>414</v>
      </c>
      <c r="E12" s="20">
        <v>66</v>
      </c>
      <c r="F12" s="20">
        <v>0</v>
      </c>
      <c r="G12" s="67">
        <f>IFERROR(F12/E12-1,0)</f>
        <v>-1</v>
      </c>
      <c r="H12" s="111">
        <f>F12-E12</f>
        <v>-66</v>
      </c>
      <c r="J12" s="448"/>
      <c r="K12" s="450"/>
    </row>
    <row r="13" spans="1:12">
      <c r="A13" s="421"/>
      <c r="B13" s="422"/>
      <c r="C13" s="422"/>
      <c r="D13" s="422" t="s">
        <v>34</v>
      </c>
      <c r="E13" s="20">
        <v>13148</v>
      </c>
      <c r="F13" s="20">
        <v>10987</v>
      </c>
      <c r="G13" s="67">
        <f>IFERROR(F13/E13-1,0)</f>
        <v>-0.16435959841801029</v>
      </c>
      <c r="H13" s="111">
        <f>F13-E13</f>
        <v>-2161</v>
      </c>
      <c r="J13" s="448"/>
      <c r="K13" s="450"/>
    </row>
    <row r="14" spans="1:12">
      <c r="A14" s="421"/>
      <c r="B14" s="422"/>
      <c r="C14" s="422"/>
      <c r="D14" s="422" t="s">
        <v>415</v>
      </c>
      <c r="E14" s="20">
        <v>2725</v>
      </c>
      <c r="F14" s="20">
        <v>1452</v>
      </c>
      <c r="G14" s="67">
        <f>IFERROR(F14/E14-1,0)</f>
        <v>-0.46715596330275233</v>
      </c>
      <c r="H14" s="111">
        <f>F14-E14</f>
        <v>-1273</v>
      </c>
      <c r="J14" s="448"/>
      <c r="K14" s="450"/>
    </row>
    <row r="15" spans="1:12">
      <c r="A15" s="421"/>
      <c r="B15" s="422" t="s">
        <v>35</v>
      </c>
      <c r="C15" s="422"/>
      <c r="D15" s="422"/>
      <c r="E15" s="20"/>
      <c r="F15" s="20"/>
      <c r="G15" s="67"/>
      <c r="H15" s="111"/>
      <c r="J15" s="448"/>
      <c r="K15" s="450"/>
    </row>
    <row r="16" spans="1:12">
      <c r="A16" s="421"/>
      <c r="B16" s="422"/>
      <c r="C16" s="422" t="s">
        <v>36</v>
      </c>
      <c r="D16" s="39"/>
      <c r="E16" s="20"/>
      <c r="F16" s="20"/>
      <c r="G16" s="86"/>
      <c r="H16" s="111"/>
      <c r="J16" s="448"/>
      <c r="K16" s="450"/>
    </row>
    <row r="17" spans="1:12">
      <c r="A17" s="421"/>
      <c r="B17" s="422"/>
      <c r="C17" s="422"/>
      <c r="D17" s="422" t="s">
        <v>416</v>
      </c>
      <c r="E17" s="20"/>
      <c r="F17" s="20">
        <v>0</v>
      </c>
      <c r="G17" s="67">
        <f t="shared" ref="G17:G22" si="3">IFERROR(F17/E17-1,0)</f>
        <v>0</v>
      </c>
      <c r="H17" s="111">
        <f>F17-E17</f>
        <v>0</v>
      </c>
      <c r="J17" s="448"/>
      <c r="K17" s="450"/>
    </row>
    <row r="18" spans="1:12">
      <c r="A18" s="421"/>
      <c r="B18" s="422"/>
      <c r="C18" s="422"/>
      <c r="D18" s="422" t="s">
        <v>417</v>
      </c>
      <c r="E18" s="20">
        <v>3326</v>
      </c>
      <c r="F18" s="20">
        <v>2375</v>
      </c>
      <c r="G18" s="67">
        <f t="shared" si="3"/>
        <v>-0.28592904389657248</v>
      </c>
      <c r="H18" s="111">
        <f t="shared" ref="H18:H22" si="4">F18-E18</f>
        <v>-951</v>
      </c>
      <c r="J18" s="448"/>
      <c r="K18" s="450"/>
    </row>
    <row r="19" spans="1:12">
      <c r="A19" s="421"/>
      <c r="B19" s="422"/>
      <c r="C19" s="422"/>
      <c r="D19" s="422" t="s">
        <v>410</v>
      </c>
      <c r="E19" s="20">
        <v>3731</v>
      </c>
      <c r="F19" s="20">
        <v>0</v>
      </c>
      <c r="G19" s="67">
        <f t="shared" si="3"/>
        <v>-1</v>
      </c>
      <c r="H19" s="111">
        <f t="shared" si="4"/>
        <v>-3731</v>
      </c>
      <c r="J19" s="448"/>
      <c r="K19" s="450"/>
    </row>
    <row r="20" spans="1:12">
      <c r="A20" s="421"/>
      <c r="B20" s="422"/>
      <c r="C20" s="422"/>
      <c r="D20" s="422" t="s">
        <v>33</v>
      </c>
      <c r="E20" s="20">
        <v>24063</v>
      </c>
      <c r="F20" s="20">
        <v>3159</v>
      </c>
      <c r="G20" s="67">
        <f t="shared" si="3"/>
        <v>-0.86871961102106976</v>
      </c>
      <c r="H20" s="111">
        <f t="shared" si="4"/>
        <v>-20904</v>
      </c>
      <c r="J20" s="448"/>
      <c r="K20" s="450"/>
    </row>
    <row r="21" spans="1:12">
      <c r="A21" s="421"/>
      <c r="B21" s="422"/>
      <c r="C21" s="39"/>
      <c r="D21" s="39" t="s">
        <v>37</v>
      </c>
      <c r="E21" s="20">
        <v>1560</v>
      </c>
      <c r="F21" s="20">
        <v>2861</v>
      </c>
      <c r="G21" s="67">
        <f t="shared" si="3"/>
        <v>0.8339743589743589</v>
      </c>
      <c r="H21" s="111">
        <f t="shared" si="4"/>
        <v>1301</v>
      </c>
      <c r="J21" s="448"/>
      <c r="K21" s="450"/>
    </row>
    <row r="22" spans="1:12">
      <c r="A22" s="421"/>
      <c r="B22" s="422"/>
      <c r="C22" s="422"/>
      <c r="D22" s="422" t="s">
        <v>414</v>
      </c>
      <c r="E22" s="20">
        <v>0</v>
      </c>
      <c r="F22" s="20">
        <v>0</v>
      </c>
      <c r="G22" s="67">
        <f t="shared" si="3"/>
        <v>0</v>
      </c>
      <c r="H22" s="111">
        <f t="shared" si="4"/>
        <v>0</v>
      </c>
      <c r="J22" s="448"/>
      <c r="K22" s="450"/>
    </row>
    <row r="23" spans="1:12">
      <c r="A23" s="421"/>
      <c r="B23" s="422"/>
      <c r="C23" s="422" t="s">
        <v>418</v>
      </c>
      <c r="D23" s="413"/>
      <c r="E23" s="20"/>
      <c r="F23" s="20">
        <v>0</v>
      </c>
      <c r="G23" s="86"/>
      <c r="H23" s="111"/>
      <c r="J23" s="448"/>
      <c r="K23" s="450"/>
    </row>
    <row r="24" spans="1:12">
      <c r="A24" s="421"/>
      <c r="B24" s="422"/>
      <c r="C24" s="422"/>
      <c r="D24" s="422" t="s">
        <v>419</v>
      </c>
      <c r="E24" s="20">
        <v>190631</v>
      </c>
      <c r="F24" s="20">
        <v>189495</v>
      </c>
      <c r="G24" s="67">
        <f>F24/E24-1</f>
        <v>-5.9591566953958175E-3</v>
      </c>
      <c r="H24" s="111">
        <f t="shared" ref="H24:H25" si="5">F24-E24</f>
        <v>-1136</v>
      </c>
      <c r="J24" s="448"/>
      <c r="K24" s="450"/>
    </row>
    <row r="25" spans="1:12">
      <c r="A25" s="421"/>
      <c r="B25" s="422"/>
      <c r="C25" s="422"/>
      <c r="D25" s="422" t="s">
        <v>420</v>
      </c>
      <c r="E25" s="20">
        <v>27091</v>
      </c>
      <c r="F25" s="20">
        <v>24690</v>
      </c>
      <c r="G25" s="67">
        <f>F25/E25-1</f>
        <v>-8.8627219371747112E-2</v>
      </c>
      <c r="H25" s="111">
        <f t="shared" si="5"/>
        <v>-2401</v>
      </c>
      <c r="J25" s="448"/>
      <c r="K25" s="450"/>
    </row>
    <row r="26" spans="1:12">
      <c r="A26" s="414" t="s">
        <v>38</v>
      </c>
      <c r="B26" s="415"/>
      <c r="C26" s="415"/>
      <c r="D26" s="416"/>
      <c r="E26" s="40">
        <v>603666</v>
      </c>
      <c r="F26" s="40">
        <f>SUM(F5:F25)</f>
        <v>625628</v>
      </c>
      <c r="G26" s="92">
        <f>F26/E26-1</f>
        <v>3.6381045147482194E-2</v>
      </c>
      <c r="H26" s="94">
        <f>F26-E26</f>
        <v>21962</v>
      </c>
      <c r="J26" s="448"/>
      <c r="K26" s="450"/>
    </row>
    <row r="27" spans="1:12">
      <c r="A27" s="421" t="s">
        <v>39</v>
      </c>
      <c r="B27" s="422"/>
      <c r="C27" s="422"/>
      <c r="D27" s="422"/>
      <c r="E27" s="59"/>
      <c r="F27" s="59"/>
      <c r="G27" s="67"/>
      <c r="H27" s="68"/>
      <c r="J27" s="448"/>
      <c r="K27" s="450"/>
    </row>
    <row r="28" spans="1:12">
      <c r="A28" s="421"/>
      <c r="B28" s="422" t="s">
        <v>31</v>
      </c>
      <c r="C28" s="422"/>
      <c r="D28" s="422"/>
      <c r="E28" s="59"/>
      <c r="F28" s="59"/>
      <c r="G28" s="67"/>
      <c r="H28" s="68"/>
      <c r="J28" s="448"/>
      <c r="K28" s="450"/>
    </row>
    <row r="29" spans="1:12">
      <c r="A29" s="421"/>
      <c r="B29" s="422"/>
      <c r="C29" s="422"/>
      <c r="D29" s="422" t="s">
        <v>421</v>
      </c>
      <c r="E29" s="16"/>
      <c r="F29" s="16"/>
      <c r="G29" s="67"/>
      <c r="H29" s="68"/>
      <c r="J29" s="448"/>
      <c r="K29" s="451"/>
    </row>
    <row r="30" spans="1:12">
      <c r="A30" s="421"/>
      <c r="B30" s="422"/>
      <c r="C30" s="422"/>
      <c r="D30" s="422" t="s">
        <v>422</v>
      </c>
      <c r="E30" s="16">
        <v>6865</v>
      </c>
      <c r="F30" s="20">
        <v>15112</v>
      </c>
      <c r="G30" s="67">
        <f t="shared" ref="G30:G41" si="6">IFERROR(F30/E30-1,0)</f>
        <v>1.2013109978150038</v>
      </c>
      <c r="H30" s="111">
        <f>F30-E30</f>
        <v>8247</v>
      </c>
      <c r="J30" s="448"/>
      <c r="K30" s="450"/>
      <c r="L30" s="450"/>
    </row>
    <row r="31" spans="1:12">
      <c r="A31" s="421"/>
      <c r="B31" s="422"/>
      <c r="C31" s="422"/>
      <c r="D31" s="422" t="s">
        <v>40</v>
      </c>
      <c r="E31" s="16">
        <v>26549</v>
      </c>
      <c r="F31" s="20">
        <v>46697</v>
      </c>
      <c r="G31" s="67">
        <f t="shared" si="6"/>
        <v>0.75889864025010367</v>
      </c>
      <c r="H31" s="111">
        <f t="shared" ref="H31:H41" si="7">F31-E31</f>
        <v>20148</v>
      </c>
      <c r="J31" s="448"/>
      <c r="K31" s="450"/>
    </row>
    <row r="32" spans="1:12">
      <c r="A32" s="421"/>
      <c r="B32" s="422"/>
      <c r="C32" s="422"/>
      <c r="D32" s="422" t="s">
        <v>41</v>
      </c>
      <c r="E32" s="16">
        <v>5920</v>
      </c>
      <c r="F32" s="20">
        <v>11368</v>
      </c>
      <c r="G32" s="67">
        <f t="shared" si="6"/>
        <v>0.92027027027027031</v>
      </c>
      <c r="H32" s="111">
        <f t="shared" si="7"/>
        <v>5448</v>
      </c>
      <c r="J32" s="448"/>
      <c r="K32" s="450"/>
    </row>
    <row r="33" spans="1:13">
      <c r="A33" s="421"/>
      <c r="B33" s="422"/>
      <c r="C33" s="422"/>
      <c r="D33" s="422" t="s">
        <v>423</v>
      </c>
      <c r="E33" s="16">
        <v>298</v>
      </c>
      <c r="F33" s="20">
        <v>1712</v>
      </c>
      <c r="G33" s="67">
        <f t="shared" si="6"/>
        <v>4.7449664429530198</v>
      </c>
      <c r="H33" s="111">
        <f t="shared" si="7"/>
        <v>1414</v>
      </c>
      <c r="J33" s="448"/>
      <c r="K33" s="450"/>
    </row>
    <row r="34" spans="1:13">
      <c r="A34" s="421"/>
      <c r="B34" s="422"/>
      <c r="C34" s="422"/>
      <c r="D34" s="422" t="s">
        <v>424</v>
      </c>
      <c r="E34" s="16">
        <v>1103</v>
      </c>
      <c r="F34" s="20">
        <v>1103</v>
      </c>
      <c r="G34" s="67">
        <f t="shared" si="6"/>
        <v>0</v>
      </c>
      <c r="H34" s="111">
        <f t="shared" si="7"/>
        <v>0</v>
      </c>
      <c r="J34" s="448"/>
      <c r="K34" s="450"/>
    </row>
    <row r="35" spans="1:13">
      <c r="A35" s="421"/>
      <c r="B35" s="422"/>
      <c r="C35" s="422"/>
      <c r="D35" s="422" t="s">
        <v>42</v>
      </c>
      <c r="E35" s="20">
        <v>6186</v>
      </c>
      <c r="F35" s="20">
        <v>7150</v>
      </c>
      <c r="G35" s="67">
        <f t="shared" si="6"/>
        <v>0.15583575816359518</v>
      </c>
      <c r="H35" s="111">
        <f t="shared" si="7"/>
        <v>964</v>
      </c>
      <c r="J35" s="448"/>
      <c r="K35" s="450"/>
    </row>
    <row r="36" spans="1:13">
      <c r="A36" s="421"/>
      <c r="B36" s="422"/>
      <c r="C36" s="422"/>
      <c r="D36" s="422" t="s">
        <v>425</v>
      </c>
      <c r="E36" s="20">
        <v>1371</v>
      </c>
      <c r="F36" s="20">
        <v>1371</v>
      </c>
      <c r="G36" s="67">
        <f t="shared" si="6"/>
        <v>0</v>
      </c>
      <c r="H36" s="111">
        <f t="shared" si="7"/>
        <v>0</v>
      </c>
      <c r="J36" s="448"/>
      <c r="K36" s="450"/>
    </row>
    <row r="37" spans="1:13">
      <c r="A37" s="421"/>
      <c r="B37" s="422"/>
      <c r="C37" s="422"/>
      <c r="D37" s="422" t="s">
        <v>414</v>
      </c>
      <c r="E37" s="20">
        <v>420</v>
      </c>
      <c r="F37" s="20">
        <v>8183</v>
      </c>
      <c r="G37" s="67">
        <f t="shared" si="6"/>
        <v>18.483333333333334</v>
      </c>
      <c r="H37" s="111">
        <f t="shared" si="7"/>
        <v>7763</v>
      </c>
      <c r="J37" s="448"/>
      <c r="K37" s="450"/>
    </row>
    <row r="38" spans="1:13">
      <c r="A38" s="421"/>
      <c r="B38" s="422"/>
      <c r="C38" s="422"/>
      <c r="D38" s="422" t="s">
        <v>403</v>
      </c>
      <c r="E38" s="20">
        <v>2027</v>
      </c>
      <c r="F38" s="20">
        <v>2279</v>
      </c>
      <c r="G38" s="67">
        <f t="shared" si="6"/>
        <v>0.12432165762210157</v>
      </c>
      <c r="H38" s="111">
        <f t="shared" si="7"/>
        <v>252</v>
      </c>
      <c r="J38" s="448"/>
      <c r="K38" s="450"/>
    </row>
    <row r="39" spans="1:13">
      <c r="A39" s="421"/>
      <c r="B39" s="422"/>
      <c r="C39" s="422"/>
      <c r="D39" s="422" t="s">
        <v>44</v>
      </c>
      <c r="E39" s="20">
        <v>11720</v>
      </c>
      <c r="F39" s="20">
        <v>9119</v>
      </c>
      <c r="G39" s="67">
        <f t="shared" si="6"/>
        <v>-0.22192832764505122</v>
      </c>
      <c r="H39" s="111">
        <f t="shared" si="7"/>
        <v>-2601</v>
      </c>
      <c r="J39" s="448"/>
      <c r="K39" s="450"/>
    </row>
    <row r="40" spans="1:13">
      <c r="A40" s="421"/>
      <c r="B40" s="422"/>
      <c r="C40" s="422"/>
      <c r="D40" s="422" t="s">
        <v>426</v>
      </c>
      <c r="E40" s="20">
        <v>1812</v>
      </c>
      <c r="F40" s="20">
        <v>1669</v>
      </c>
      <c r="G40" s="67">
        <f t="shared" si="6"/>
        <v>-7.8918322295805754E-2</v>
      </c>
      <c r="H40" s="111">
        <f t="shared" si="7"/>
        <v>-143</v>
      </c>
      <c r="J40" s="448"/>
      <c r="K40" s="450"/>
    </row>
    <row r="41" spans="1:13">
      <c r="A41" s="421"/>
      <c r="B41" s="422"/>
      <c r="C41" s="422"/>
      <c r="D41" s="422" t="s">
        <v>404</v>
      </c>
      <c r="E41" s="20">
        <v>16765</v>
      </c>
      <c r="F41" s="20">
        <v>0</v>
      </c>
      <c r="G41" s="67">
        <f t="shared" si="6"/>
        <v>-1</v>
      </c>
      <c r="H41" s="111">
        <f t="shared" si="7"/>
        <v>-16765</v>
      </c>
      <c r="J41" s="448"/>
      <c r="K41" s="450"/>
    </row>
    <row r="42" spans="1:13">
      <c r="A42" s="421"/>
      <c r="B42" s="422" t="s">
        <v>35</v>
      </c>
      <c r="C42" s="39"/>
      <c r="D42" s="39"/>
      <c r="E42" s="20"/>
      <c r="F42" s="20"/>
      <c r="G42" s="67"/>
      <c r="H42" s="111"/>
      <c r="J42" s="448"/>
      <c r="K42" s="450"/>
    </row>
    <row r="43" spans="1:13">
      <c r="A43" s="421"/>
      <c r="B43" s="422"/>
      <c r="C43" s="422"/>
      <c r="D43" s="422" t="s">
        <v>422</v>
      </c>
      <c r="E43" s="20">
        <v>130852</v>
      </c>
      <c r="F43" s="20">
        <v>115650</v>
      </c>
      <c r="G43" s="67">
        <f t="shared" ref="G43:G52" si="8">IFERROR(F43/E43-1,0)</f>
        <v>-0.11617705499342768</v>
      </c>
      <c r="H43" s="111">
        <f t="shared" ref="H43:H52" si="9">F43-E43</f>
        <v>-15202</v>
      </c>
      <c r="J43" s="448"/>
      <c r="K43" s="450"/>
    </row>
    <row r="44" spans="1:13">
      <c r="A44" s="421"/>
      <c r="B44" s="422"/>
      <c r="C44" s="422"/>
      <c r="D44" s="422" t="s">
        <v>41</v>
      </c>
      <c r="E44" s="20">
        <v>1653</v>
      </c>
      <c r="F44" s="20">
        <v>1528</v>
      </c>
      <c r="G44" s="67">
        <f t="shared" si="8"/>
        <v>-7.5620084694494882E-2</v>
      </c>
      <c r="H44" s="111">
        <f t="shared" si="9"/>
        <v>-125</v>
      </c>
      <c r="J44" s="448"/>
      <c r="K44" s="450"/>
    </row>
    <row r="45" spans="1:13">
      <c r="A45" s="421"/>
      <c r="B45" s="422"/>
      <c r="C45" s="422"/>
      <c r="D45" s="422" t="s">
        <v>423</v>
      </c>
      <c r="E45" s="20">
        <v>13543</v>
      </c>
      <c r="F45" s="20">
        <v>17717</v>
      </c>
      <c r="G45" s="67">
        <f t="shared" si="8"/>
        <v>0.3082034999630805</v>
      </c>
      <c r="H45" s="111">
        <f t="shared" si="9"/>
        <v>4174</v>
      </c>
      <c r="J45" s="448"/>
      <c r="K45" s="450"/>
      <c r="L45" s="450"/>
      <c r="M45" s="450"/>
    </row>
    <row r="46" spans="1:13">
      <c r="A46" s="421"/>
      <c r="B46" s="422"/>
      <c r="C46" s="422"/>
      <c r="D46" s="422" t="s">
        <v>45</v>
      </c>
      <c r="E46" s="20">
        <v>54494</v>
      </c>
      <c r="F46" s="20">
        <v>57067</v>
      </c>
      <c r="G46" s="67">
        <f t="shared" si="8"/>
        <v>4.7216207288875767E-2</v>
      </c>
      <c r="H46" s="111">
        <f t="shared" si="9"/>
        <v>2573</v>
      </c>
      <c r="J46" s="448"/>
      <c r="K46" s="450"/>
    </row>
    <row r="47" spans="1:13">
      <c r="A47" s="421"/>
      <c r="B47" s="422"/>
      <c r="C47" s="422"/>
      <c r="D47" s="422" t="s">
        <v>414</v>
      </c>
      <c r="E47" s="20">
        <v>0</v>
      </c>
      <c r="F47" s="20">
        <v>0</v>
      </c>
      <c r="G47" s="67">
        <f t="shared" si="8"/>
        <v>0</v>
      </c>
      <c r="H47" s="111">
        <f t="shared" si="9"/>
        <v>0</v>
      </c>
      <c r="J47" s="448"/>
      <c r="K47" s="450"/>
    </row>
    <row r="48" spans="1:13">
      <c r="A48" s="421"/>
      <c r="B48" s="422"/>
      <c r="C48" s="422"/>
      <c r="D48" s="422" t="s">
        <v>427</v>
      </c>
      <c r="E48" s="20">
        <v>3230</v>
      </c>
      <c r="F48" s="20">
        <v>0</v>
      </c>
      <c r="G48" s="67">
        <f t="shared" si="8"/>
        <v>-1</v>
      </c>
      <c r="H48" s="111">
        <f t="shared" si="9"/>
        <v>-3230</v>
      </c>
      <c r="J48" s="448"/>
      <c r="K48" s="450"/>
    </row>
    <row r="49" spans="1:12">
      <c r="A49" s="421"/>
      <c r="B49" s="422"/>
      <c r="C49" s="422"/>
      <c r="D49" s="422" t="s">
        <v>404</v>
      </c>
      <c r="E49" s="20">
        <v>0</v>
      </c>
      <c r="F49" s="20">
        <v>0</v>
      </c>
      <c r="G49" s="67">
        <f t="shared" si="8"/>
        <v>0</v>
      </c>
      <c r="H49" s="111">
        <f t="shared" si="9"/>
        <v>0</v>
      </c>
      <c r="J49" s="448"/>
      <c r="K49" s="450"/>
    </row>
    <row r="50" spans="1:12">
      <c r="A50" s="421"/>
      <c r="B50" s="422"/>
      <c r="C50" s="422"/>
      <c r="D50" s="422" t="s">
        <v>403</v>
      </c>
      <c r="E50" s="16">
        <v>1423</v>
      </c>
      <c r="F50" s="20">
        <v>3403</v>
      </c>
      <c r="G50" s="67">
        <f t="shared" si="8"/>
        <v>1.3914265635980323</v>
      </c>
      <c r="H50" s="111">
        <f t="shared" si="9"/>
        <v>1980</v>
      </c>
      <c r="J50" s="448"/>
      <c r="K50" s="450"/>
    </row>
    <row r="51" spans="1:12">
      <c r="A51" s="421"/>
      <c r="B51" s="422"/>
      <c r="C51" s="422"/>
      <c r="D51" s="422" t="s">
        <v>406</v>
      </c>
      <c r="E51" s="20">
        <v>4633</v>
      </c>
      <c r="F51" s="20">
        <v>1709</v>
      </c>
      <c r="G51" s="67">
        <f t="shared" si="8"/>
        <v>-0.63112454133390894</v>
      </c>
      <c r="H51" s="111">
        <f t="shared" si="9"/>
        <v>-2924</v>
      </c>
      <c r="J51" s="448"/>
      <c r="K51" s="450"/>
    </row>
    <row r="52" spans="1:12">
      <c r="A52" s="421"/>
      <c r="B52" s="422"/>
      <c r="C52" s="422"/>
      <c r="D52" s="422" t="s">
        <v>44</v>
      </c>
      <c r="E52" s="20">
        <v>0</v>
      </c>
      <c r="F52" s="20">
        <v>0</v>
      </c>
      <c r="G52" s="67">
        <f t="shared" si="8"/>
        <v>0</v>
      </c>
      <c r="H52" s="111">
        <f t="shared" si="9"/>
        <v>0</v>
      </c>
      <c r="J52" s="448"/>
      <c r="K52" s="450"/>
    </row>
    <row r="53" spans="1:12">
      <c r="A53" s="414" t="s">
        <v>428</v>
      </c>
      <c r="B53" s="415"/>
      <c r="C53" s="415"/>
      <c r="D53" s="415"/>
      <c r="E53" s="40">
        <v>290864</v>
      </c>
      <c r="F53" s="40">
        <f>SUM(F29:F52)</f>
        <v>302837</v>
      </c>
      <c r="G53" s="92">
        <f>F53/E53-1</f>
        <v>4.1163567853017113E-2</v>
      </c>
      <c r="H53" s="94">
        <f>F53-E53</f>
        <v>11973</v>
      </c>
      <c r="J53" s="448"/>
      <c r="K53" s="450"/>
    </row>
    <row r="54" spans="1:12">
      <c r="A54" s="421" t="s">
        <v>429</v>
      </c>
      <c r="B54" s="422"/>
      <c r="C54" s="422"/>
      <c r="D54" s="422"/>
      <c r="E54" s="59"/>
      <c r="F54" s="59"/>
      <c r="G54" s="67"/>
      <c r="H54" s="68"/>
      <c r="J54" s="448"/>
      <c r="K54" s="450"/>
    </row>
    <row r="55" spans="1:12">
      <c r="A55" s="421"/>
      <c r="B55" s="422" t="s">
        <v>46</v>
      </c>
      <c r="C55" s="422"/>
      <c r="D55" s="422"/>
      <c r="E55" s="20">
        <v>130583</v>
      </c>
      <c r="F55" s="20">
        <v>130583</v>
      </c>
      <c r="G55" s="67">
        <f t="shared" ref="G55:G60" si="10">F55/E55-1</f>
        <v>0</v>
      </c>
      <c r="H55" s="111">
        <f t="shared" ref="H55:H60" si="11">F55-E55</f>
        <v>0</v>
      </c>
      <c r="J55" s="448"/>
      <c r="K55" s="450"/>
    </row>
    <row r="56" spans="1:12">
      <c r="A56" s="421"/>
      <c r="B56" s="422" t="s">
        <v>430</v>
      </c>
      <c r="C56" s="422"/>
      <c r="D56" s="422"/>
      <c r="E56" s="20">
        <v>-11208</v>
      </c>
      <c r="F56" s="20">
        <v>-21464</v>
      </c>
      <c r="G56" s="67">
        <f t="shared" si="10"/>
        <v>0.91506067094932186</v>
      </c>
      <c r="H56" s="111"/>
      <c r="J56" s="448"/>
      <c r="K56" s="450"/>
    </row>
    <row r="57" spans="1:12">
      <c r="A57" s="421"/>
      <c r="B57" s="422" t="s">
        <v>47</v>
      </c>
      <c r="C57" s="422"/>
      <c r="D57" s="422"/>
      <c r="E57" s="20">
        <v>-10870</v>
      </c>
      <c r="F57" s="20">
        <v>-10870</v>
      </c>
      <c r="G57" s="67">
        <f t="shared" si="10"/>
        <v>0</v>
      </c>
      <c r="H57" s="111">
        <f t="shared" si="11"/>
        <v>0</v>
      </c>
      <c r="J57" s="448"/>
      <c r="K57" s="450"/>
    </row>
    <row r="58" spans="1:12">
      <c r="A58" s="421"/>
      <c r="B58" s="422" t="s">
        <v>48</v>
      </c>
      <c r="C58" s="39"/>
      <c r="D58" s="39"/>
      <c r="E58" s="20">
        <v>204917</v>
      </c>
      <c r="F58" s="20">
        <v>204009</v>
      </c>
      <c r="G58" s="67">
        <f t="shared" si="10"/>
        <v>-4.431062332554192E-3</v>
      </c>
      <c r="H58" s="111">
        <f t="shared" si="11"/>
        <v>-908</v>
      </c>
      <c r="J58" s="448"/>
      <c r="K58" s="450"/>
    </row>
    <row r="59" spans="1:12">
      <c r="A59" s="421"/>
      <c r="B59" s="422" t="s">
        <v>49</v>
      </c>
      <c r="C59" s="422"/>
      <c r="D59" s="422"/>
      <c r="E59" s="20">
        <v>14287</v>
      </c>
      <c r="F59" s="20">
        <v>17749</v>
      </c>
      <c r="G59" s="67">
        <f t="shared" si="10"/>
        <v>0.24231819136277744</v>
      </c>
      <c r="H59" s="111">
        <f t="shared" si="11"/>
        <v>3462</v>
      </c>
      <c r="J59" s="448"/>
      <c r="K59" s="450"/>
    </row>
    <row r="60" spans="1:12">
      <c r="A60" s="421"/>
      <c r="B60" s="422" t="s">
        <v>50</v>
      </c>
      <c r="C60" s="422"/>
      <c r="D60" s="422"/>
      <c r="E60" s="20">
        <v>-14100</v>
      </c>
      <c r="F60" s="20">
        <v>-13981</v>
      </c>
      <c r="G60" s="67">
        <f t="shared" si="10"/>
        <v>-8.4397163120567553E-3</v>
      </c>
      <c r="H60" s="111">
        <f t="shared" si="11"/>
        <v>119</v>
      </c>
      <c r="I60" s="449"/>
      <c r="J60" s="448"/>
      <c r="K60" s="450"/>
      <c r="L60" s="452"/>
    </row>
    <row r="61" spans="1:12">
      <c r="A61" s="421"/>
      <c r="B61" s="422" t="s">
        <v>431</v>
      </c>
      <c r="C61" s="422"/>
      <c r="D61" s="422"/>
      <c r="E61" s="20">
        <v>3205</v>
      </c>
      <c r="F61" s="20">
        <v>3205</v>
      </c>
      <c r="G61" s="67">
        <f t="shared" ref="G61:G63" si="12">F61/E61-1</f>
        <v>0</v>
      </c>
      <c r="H61" s="111">
        <f t="shared" ref="H61:H63" si="13">F61-E61</f>
        <v>0</v>
      </c>
      <c r="I61" s="449"/>
      <c r="J61" s="448"/>
      <c r="K61" s="450"/>
      <c r="L61" s="452"/>
    </row>
    <row r="62" spans="1:12">
      <c r="A62" s="421"/>
      <c r="B62" s="4" t="s">
        <v>504</v>
      </c>
      <c r="C62" s="422"/>
      <c r="D62" s="422"/>
      <c r="E62" s="20">
        <v>-4012</v>
      </c>
      <c r="F62" s="20">
        <v>18619</v>
      </c>
      <c r="G62" s="67"/>
      <c r="H62" s="111"/>
      <c r="I62" s="449"/>
      <c r="J62" s="448"/>
      <c r="K62" s="450"/>
      <c r="L62" s="452"/>
    </row>
    <row r="63" spans="1:12">
      <c r="A63" s="421"/>
      <c r="B63" s="417" t="s">
        <v>456</v>
      </c>
      <c r="C63" s="422"/>
      <c r="D63" s="422"/>
      <c r="E63" s="20"/>
      <c r="F63" s="20">
        <v>-5059</v>
      </c>
      <c r="G63" s="67" t="e">
        <f t="shared" si="12"/>
        <v>#DIV/0!</v>
      </c>
      <c r="H63" s="111">
        <f t="shared" si="13"/>
        <v>-5059</v>
      </c>
      <c r="I63" s="449"/>
      <c r="J63" s="448"/>
      <c r="K63" s="450"/>
      <c r="L63" s="452"/>
    </row>
    <row r="64" spans="1:12">
      <c r="A64" s="414" t="s">
        <v>51</v>
      </c>
      <c r="B64" s="415"/>
      <c r="C64" s="415"/>
      <c r="D64" s="415"/>
      <c r="E64" s="41">
        <f>SUM(E54:E63)</f>
        <v>312802</v>
      </c>
      <c r="F64" s="41">
        <f>SUM(F54:F63)</f>
        <v>322791</v>
      </c>
      <c r="G64" s="92">
        <f>F64/E64-1</f>
        <v>3.1933939041310477E-2</v>
      </c>
      <c r="H64" s="94">
        <f>F64-E64</f>
        <v>9989</v>
      </c>
      <c r="J64" s="448"/>
      <c r="K64" s="450"/>
    </row>
    <row r="65" spans="1:11">
      <c r="A65" s="421"/>
      <c r="B65" s="422"/>
      <c r="C65" s="422"/>
      <c r="D65" s="422"/>
      <c r="E65" s="59"/>
      <c r="F65" s="59"/>
      <c r="G65" s="67"/>
      <c r="H65" s="68"/>
      <c r="J65" s="448"/>
      <c r="K65" s="450"/>
    </row>
    <row r="66" spans="1:11" ht="12.6" thickBot="1">
      <c r="A66" s="425" t="s">
        <v>432</v>
      </c>
      <c r="B66" s="426"/>
      <c r="C66" s="426"/>
      <c r="D66" s="426"/>
      <c r="E66" s="42">
        <f>E64+E53</f>
        <v>603666</v>
      </c>
      <c r="F66" s="42">
        <f>F64+F53</f>
        <v>625628</v>
      </c>
      <c r="G66" s="87">
        <f>F66/E66-1</f>
        <v>3.6381045147482194E-2</v>
      </c>
      <c r="H66" s="88">
        <f>F66-E66</f>
        <v>21962</v>
      </c>
      <c r="J66" s="448"/>
      <c r="K66" s="450"/>
    </row>
    <row r="67" spans="1:11">
      <c r="E67" s="453"/>
      <c r="F67" s="453">
        <f>F66-F26</f>
        <v>0</v>
      </c>
      <c r="J67" s="448"/>
    </row>
    <row r="68" spans="1:11">
      <c r="E68" s="448"/>
      <c r="F68" s="454"/>
      <c r="H68" s="455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2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09375" defaultRowHeight="15.75" customHeight="1" outlineLevelRow="1"/>
  <cols>
    <col min="1" max="1" width="2.6640625" style="4" customWidth="1"/>
    <col min="2" max="2" width="57.6640625" style="39" bestFit="1" customWidth="1"/>
    <col min="3" max="3" width="9.5546875" style="36" customWidth="1"/>
    <col min="4" max="4" width="10.33203125" style="36" customWidth="1"/>
    <col min="5" max="6" width="9.109375" style="36" customWidth="1"/>
    <col min="7" max="7" width="9.109375" style="55" hidden="1" customWidth="1"/>
    <col min="8" max="8" width="12.109375" style="36" hidden="1" customWidth="1"/>
    <col min="9" max="10" width="9.109375" style="36" hidden="1" customWidth="1"/>
    <col min="11" max="11" width="9.109375" style="55" hidden="1" customWidth="1" collapsed="1"/>
    <col min="12" max="12" width="9.109375" style="36" hidden="1" customWidth="1"/>
    <col min="13" max="14" width="9.109375" style="77" hidden="1" customWidth="1"/>
    <col min="15" max="15" width="10.5546875" style="55" hidden="1" customWidth="1"/>
    <col min="16" max="16" width="10.5546875" style="36" hidden="1" customWidth="1"/>
    <col min="17" max="17" width="11.33203125" style="77" hidden="1" customWidth="1"/>
    <col min="18" max="18" width="7.44140625" style="77" hidden="1" customWidth="1"/>
    <col min="19" max="19" width="10.44140625" style="15" hidden="1" customWidth="1"/>
    <col min="20" max="20" width="10.5546875" style="36" hidden="1" customWidth="1"/>
    <col min="21" max="21" width="11.109375" style="77" hidden="1" customWidth="1"/>
    <col min="22" max="22" width="11" style="77" hidden="1" customWidth="1"/>
    <col min="23" max="23" width="13.33203125" style="15" customWidth="1"/>
    <col min="24" max="24" width="5.109375" style="15" bestFit="1" customWidth="1"/>
    <col min="25" max="16384" width="9.109375" style="15"/>
  </cols>
  <sheetData>
    <row r="1" spans="1:24" ht="90.75" customHeight="1" thickBot="1"/>
    <row r="2" spans="1:24" ht="15.75" customHeight="1" thickBot="1">
      <c r="A2" s="418" t="s">
        <v>433</v>
      </c>
      <c r="B2" s="419"/>
      <c r="C2" s="394" t="s">
        <v>460</v>
      </c>
      <c r="D2" s="394" t="s">
        <v>468</v>
      </c>
      <c r="E2" s="394" t="s">
        <v>0</v>
      </c>
      <c r="F2" s="395" t="s">
        <v>1</v>
      </c>
      <c r="G2" s="394" t="s">
        <v>461</v>
      </c>
      <c r="H2" s="394"/>
      <c r="I2" s="394" t="s">
        <v>0</v>
      </c>
      <c r="J2" s="395" t="s">
        <v>1</v>
      </c>
      <c r="K2" s="394" t="s">
        <v>462</v>
      </c>
      <c r="L2" s="394"/>
      <c r="M2" s="394" t="s">
        <v>0</v>
      </c>
      <c r="N2" s="394" t="s">
        <v>1</v>
      </c>
      <c r="O2" s="394" t="s">
        <v>463</v>
      </c>
      <c r="P2" s="394"/>
      <c r="Q2" s="394" t="s">
        <v>0</v>
      </c>
      <c r="R2" s="394" t="s">
        <v>1</v>
      </c>
      <c r="S2" s="394">
        <v>2020</v>
      </c>
      <c r="T2" s="394">
        <v>2021</v>
      </c>
      <c r="U2" s="394" t="s">
        <v>0</v>
      </c>
      <c r="V2" s="394" t="s">
        <v>1</v>
      </c>
    </row>
    <row r="3" spans="1:24" ht="15.75" customHeight="1">
      <c r="A3" s="420" t="s">
        <v>8</v>
      </c>
      <c r="C3" s="57"/>
      <c r="D3" s="33"/>
      <c r="E3" s="37"/>
      <c r="F3" s="38"/>
      <c r="G3" s="33"/>
      <c r="H3" s="33"/>
      <c r="I3" s="37"/>
      <c r="J3" s="38"/>
      <c r="K3" s="33"/>
      <c r="L3" s="33"/>
      <c r="M3" s="78"/>
      <c r="N3" s="79"/>
      <c r="O3" s="33"/>
      <c r="P3" s="33"/>
      <c r="Q3" s="78"/>
      <c r="R3" s="79"/>
      <c r="S3" s="56"/>
      <c r="T3" s="33"/>
      <c r="U3" s="78"/>
      <c r="V3" s="79"/>
    </row>
    <row r="4" spans="1:24" ht="15.75" customHeight="1" outlineLevel="1">
      <c r="A4" s="421"/>
      <c r="B4" s="422" t="s">
        <v>9</v>
      </c>
      <c r="C4" s="16">
        <v>-4670</v>
      </c>
      <c r="D4" s="112">
        <v>-5697</v>
      </c>
      <c r="E4" s="67">
        <f>D4/C4-1</f>
        <v>0.21991434689507505</v>
      </c>
      <c r="F4" s="108">
        <f>D4-C4</f>
        <v>-1027</v>
      </c>
      <c r="G4" s="107">
        <v>12697</v>
      </c>
      <c r="H4" s="107"/>
      <c r="I4" s="67">
        <f>H4/G4-1</f>
        <v>-1</v>
      </c>
      <c r="J4" s="108">
        <f>H4-G4</f>
        <v>-12697</v>
      </c>
      <c r="K4" s="107">
        <v>10343</v>
      </c>
      <c r="L4" s="107"/>
      <c r="M4" s="67">
        <f>IFERROR(L4/K4-1,"-")</f>
        <v>-1</v>
      </c>
      <c r="N4" s="108">
        <f>L4-K4</f>
        <v>-10343</v>
      </c>
      <c r="O4" s="107">
        <v>40288</v>
      </c>
      <c r="P4" s="107"/>
      <c r="Q4" s="67">
        <f>P4/O4-1</f>
        <v>-1</v>
      </c>
      <c r="R4" s="108">
        <f>P4-O4</f>
        <v>-40288</v>
      </c>
      <c r="S4" s="107">
        <v>-33924</v>
      </c>
      <c r="T4" s="107">
        <v>35618</v>
      </c>
      <c r="U4" s="67">
        <f>IFERROR(T4/S4-1,"-")</f>
        <v>-2.0499351491569389</v>
      </c>
      <c r="V4" s="108">
        <f>T4-S4</f>
        <v>69542</v>
      </c>
      <c r="X4" s="437"/>
    </row>
    <row r="5" spans="1:24" ht="15.75" customHeight="1">
      <c r="A5" s="421" t="s">
        <v>10</v>
      </c>
      <c r="B5" s="422"/>
      <c r="C5" s="17"/>
      <c r="D5" s="32"/>
      <c r="E5" s="67"/>
      <c r="F5" s="108"/>
      <c r="G5" s="107">
        <v>0</v>
      </c>
      <c r="H5" s="107"/>
      <c r="I5" s="67"/>
      <c r="J5" s="108"/>
      <c r="K5" s="107">
        <v>0</v>
      </c>
      <c r="L5" s="107"/>
      <c r="M5" s="67" t="str">
        <f t="shared" ref="M5:M23" si="0">IFERROR(L5/K5-1,"-")</f>
        <v>-</v>
      </c>
      <c r="N5" s="108">
        <f t="shared" ref="N5:N23" si="1">L5-K5</f>
        <v>0</v>
      </c>
      <c r="O5" s="107">
        <v>0</v>
      </c>
      <c r="P5" s="107"/>
      <c r="Q5" s="67"/>
      <c r="R5" s="108"/>
      <c r="S5" s="107">
        <v>0</v>
      </c>
      <c r="T5" s="107">
        <v>0</v>
      </c>
      <c r="U5" s="67" t="str">
        <f t="shared" ref="U5:U23" si="2">IFERROR(T5/S5-1,"-")</f>
        <v>-</v>
      </c>
      <c r="V5" s="108">
        <f t="shared" ref="V5:V23" si="3">T5-S5</f>
        <v>0</v>
      </c>
      <c r="X5" s="437"/>
    </row>
    <row r="6" spans="1:24" ht="15.75" customHeight="1" outlineLevel="1">
      <c r="A6" s="421"/>
      <c r="B6" s="422" t="s">
        <v>11</v>
      </c>
      <c r="C6" s="107">
        <v>2245</v>
      </c>
      <c r="D6" s="112">
        <v>3155</v>
      </c>
      <c r="E6" s="67">
        <f>D6/C6-1</f>
        <v>0.40534521158129166</v>
      </c>
      <c r="F6" s="108">
        <f>D6-C6</f>
        <v>910</v>
      </c>
      <c r="G6" s="107">
        <v>2089</v>
      </c>
      <c r="H6" s="107"/>
      <c r="I6" s="67">
        <f>H6/G6-1</f>
        <v>-1</v>
      </c>
      <c r="J6" s="108">
        <f>H6-G6</f>
        <v>-2089</v>
      </c>
      <c r="K6" s="107">
        <v>2074</v>
      </c>
      <c r="L6" s="107"/>
      <c r="M6" s="67">
        <f t="shared" si="0"/>
        <v>-1</v>
      </c>
      <c r="N6" s="108">
        <f t="shared" si="1"/>
        <v>-2074</v>
      </c>
      <c r="O6" s="107">
        <v>6645</v>
      </c>
      <c r="P6" s="107"/>
      <c r="Q6" s="67">
        <f>P6/O6-1</f>
        <v>-1</v>
      </c>
      <c r="R6" s="108">
        <f>P6-O6</f>
        <v>-6645</v>
      </c>
      <c r="S6" s="107">
        <v>11087</v>
      </c>
      <c r="T6" s="107">
        <v>8890</v>
      </c>
      <c r="U6" s="67">
        <f t="shared" si="2"/>
        <v>-0.19816000721565796</v>
      </c>
      <c r="V6" s="108">
        <f t="shared" si="3"/>
        <v>-2197</v>
      </c>
      <c r="X6" s="437"/>
    </row>
    <row r="7" spans="1:24" ht="15.75" customHeight="1" outlineLevel="1">
      <c r="A7" s="421"/>
      <c r="B7" s="422" t="s">
        <v>434</v>
      </c>
      <c r="C7" s="107"/>
      <c r="D7" s="112"/>
      <c r="E7" s="67"/>
      <c r="F7" s="108"/>
      <c r="G7" s="107">
        <v>0</v>
      </c>
      <c r="H7" s="107"/>
      <c r="I7" s="67"/>
      <c r="J7" s="108"/>
      <c r="K7" s="107">
        <v>0</v>
      </c>
      <c r="L7" s="107"/>
      <c r="M7" s="67" t="str">
        <f t="shared" si="0"/>
        <v>-</v>
      </c>
      <c r="N7" s="108">
        <f t="shared" si="1"/>
        <v>0</v>
      </c>
      <c r="O7" s="107">
        <v>0</v>
      </c>
      <c r="P7" s="107"/>
      <c r="Q7" s="67"/>
      <c r="R7" s="108"/>
      <c r="S7" s="107">
        <v>0</v>
      </c>
      <c r="T7" s="107">
        <v>0</v>
      </c>
      <c r="U7" s="67" t="str">
        <f t="shared" si="2"/>
        <v>-</v>
      </c>
      <c r="V7" s="108">
        <f t="shared" si="3"/>
        <v>0</v>
      </c>
      <c r="X7" s="437"/>
    </row>
    <row r="8" spans="1:24" ht="15.75" customHeight="1" outlineLevel="1">
      <c r="A8" s="421"/>
      <c r="B8" s="422" t="s">
        <v>435</v>
      </c>
      <c r="C8" s="107">
        <v>596</v>
      </c>
      <c r="D8" s="112">
        <v>2123</v>
      </c>
      <c r="E8" s="67">
        <f t="shared" ref="E8:E20" si="4">D8/C8-1</f>
        <v>2.5620805369127515</v>
      </c>
      <c r="F8" s="108">
        <f t="shared" ref="F8:F20" si="5">D8-C8</f>
        <v>1527</v>
      </c>
      <c r="G8" s="107">
        <v>-667</v>
      </c>
      <c r="H8" s="107"/>
      <c r="I8" s="67">
        <f t="shared" ref="I8:I20" si="6">H8/G8-1</f>
        <v>-1</v>
      </c>
      <c r="J8" s="108">
        <f t="shared" ref="J8:J20" si="7">H8-G8</f>
        <v>667</v>
      </c>
      <c r="K8" s="107">
        <v>-3871</v>
      </c>
      <c r="L8" s="107"/>
      <c r="M8" s="67">
        <f t="shared" si="0"/>
        <v>-1</v>
      </c>
      <c r="N8" s="108">
        <f t="shared" si="1"/>
        <v>3871</v>
      </c>
      <c r="O8" s="107">
        <v>-16500</v>
      </c>
      <c r="P8" s="107"/>
      <c r="Q8" s="67">
        <f t="shared" ref="Q8:Q20" si="8">P8/O8-1</f>
        <v>-1</v>
      </c>
      <c r="R8" s="108">
        <f t="shared" ref="R8:R20" si="9">P8-O8</f>
        <v>16500</v>
      </c>
      <c r="S8" s="107">
        <v>5106</v>
      </c>
      <c r="T8" s="107">
        <v>-15904</v>
      </c>
      <c r="U8" s="67">
        <f t="shared" si="2"/>
        <v>-4.1147669408538974</v>
      </c>
      <c r="V8" s="108">
        <f t="shared" si="3"/>
        <v>-21010</v>
      </c>
      <c r="X8" s="437"/>
    </row>
    <row r="9" spans="1:24" ht="15.75" customHeight="1" outlineLevel="1">
      <c r="A9" s="421"/>
      <c r="B9" s="422" t="s">
        <v>12</v>
      </c>
      <c r="C9" s="107">
        <v>960</v>
      </c>
      <c r="D9" s="112">
        <v>-48</v>
      </c>
      <c r="E9" s="67">
        <f t="shared" si="4"/>
        <v>-1.05</v>
      </c>
      <c r="F9" s="108">
        <f t="shared" si="5"/>
        <v>-1008</v>
      </c>
      <c r="G9" s="107">
        <v>117</v>
      </c>
      <c r="H9" s="107"/>
      <c r="I9" s="67">
        <f t="shared" si="6"/>
        <v>-1</v>
      </c>
      <c r="J9" s="108">
        <f t="shared" si="7"/>
        <v>-117</v>
      </c>
      <c r="K9" s="107">
        <v>-322</v>
      </c>
      <c r="L9" s="107"/>
      <c r="M9" s="67">
        <f t="shared" si="0"/>
        <v>-1</v>
      </c>
      <c r="N9" s="108">
        <f t="shared" si="1"/>
        <v>322</v>
      </c>
      <c r="O9" s="107">
        <v>-176</v>
      </c>
      <c r="P9" s="107"/>
      <c r="Q9" s="67">
        <f t="shared" si="8"/>
        <v>-1</v>
      </c>
      <c r="R9" s="108">
        <f t="shared" si="9"/>
        <v>176</v>
      </c>
      <c r="S9" s="107">
        <v>14704</v>
      </c>
      <c r="T9" s="107">
        <v>784</v>
      </c>
      <c r="U9" s="67">
        <f t="shared" si="2"/>
        <v>-0.94668117519042438</v>
      </c>
      <c r="V9" s="108">
        <f t="shared" si="3"/>
        <v>-13920</v>
      </c>
      <c r="X9" s="437"/>
    </row>
    <row r="10" spans="1:24" ht="15.75" customHeight="1" outlineLevel="1">
      <c r="A10" s="421"/>
      <c r="B10" s="422" t="s">
        <v>467</v>
      </c>
      <c r="C10" s="107"/>
      <c r="D10" s="112"/>
      <c r="E10" s="67"/>
      <c r="F10" s="108"/>
      <c r="G10" s="107"/>
      <c r="H10" s="107"/>
      <c r="I10" s="67"/>
      <c r="J10" s="108"/>
      <c r="K10" s="107"/>
      <c r="L10" s="107"/>
      <c r="M10" s="67"/>
      <c r="N10" s="108"/>
      <c r="O10" s="107">
        <v>23777</v>
      </c>
      <c r="P10" s="107"/>
      <c r="Q10" s="67"/>
      <c r="R10" s="108"/>
      <c r="S10" s="107">
        <v>0</v>
      </c>
      <c r="T10" s="107">
        <v>23777</v>
      </c>
      <c r="U10" s="67"/>
      <c r="V10" s="108"/>
      <c r="X10" s="437"/>
    </row>
    <row r="11" spans="1:24" ht="15.75" customHeight="1" outlineLevel="1">
      <c r="A11" s="421"/>
      <c r="B11" s="422" t="s">
        <v>436</v>
      </c>
      <c r="C11" s="107">
        <v>0</v>
      </c>
      <c r="D11" s="112">
        <v>0</v>
      </c>
      <c r="E11" s="67"/>
      <c r="F11" s="108"/>
      <c r="G11" s="107">
        <v>0</v>
      </c>
      <c r="H11" s="107"/>
      <c r="I11" s="67"/>
      <c r="J11" s="108"/>
      <c r="K11" s="107">
        <v>0</v>
      </c>
      <c r="L11" s="107"/>
      <c r="M11" s="67" t="str">
        <f t="shared" si="0"/>
        <v>-</v>
      </c>
      <c r="N11" s="108">
        <f t="shared" si="1"/>
        <v>0</v>
      </c>
      <c r="O11" s="107">
        <v>0</v>
      </c>
      <c r="P11" s="107"/>
      <c r="Q11" s="67"/>
      <c r="R11" s="108"/>
      <c r="S11" s="107">
        <v>0</v>
      </c>
      <c r="T11" s="107">
        <v>0</v>
      </c>
      <c r="U11" s="67" t="str">
        <f t="shared" si="2"/>
        <v>-</v>
      </c>
      <c r="V11" s="108">
        <f t="shared" si="3"/>
        <v>0</v>
      </c>
      <c r="X11" s="437"/>
    </row>
    <row r="12" spans="1:24" ht="15.75" customHeight="1" outlineLevel="1">
      <c r="A12" s="421"/>
      <c r="B12" s="422" t="s">
        <v>459</v>
      </c>
      <c r="C12" s="107">
        <v>0</v>
      </c>
      <c r="D12" s="112">
        <v>0</v>
      </c>
      <c r="E12" s="67"/>
      <c r="F12" s="108"/>
      <c r="G12" s="107">
        <v>0</v>
      </c>
      <c r="H12" s="107"/>
      <c r="I12" s="67"/>
      <c r="J12" s="108"/>
      <c r="K12" s="107">
        <v>845</v>
      </c>
      <c r="L12" s="107"/>
      <c r="M12" s="67">
        <f t="shared" si="0"/>
        <v>-1</v>
      </c>
      <c r="N12" s="108">
        <f t="shared" si="1"/>
        <v>-845</v>
      </c>
      <c r="O12" s="107">
        <v>523</v>
      </c>
      <c r="P12" s="107"/>
      <c r="Q12" s="67"/>
      <c r="R12" s="108"/>
      <c r="S12" s="107">
        <v>1420</v>
      </c>
      <c r="T12" s="107">
        <v>523</v>
      </c>
      <c r="U12" s="67">
        <f t="shared" si="2"/>
        <v>-0.63169014084507036</v>
      </c>
      <c r="V12" s="108">
        <f t="shared" si="3"/>
        <v>-897</v>
      </c>
      <c r="X12" s="437"/>
    </row>
    <row r="13" spans="1:24" ht="15.75" customHeight="1" outlineLevel="1">
      <c r="A13" s="421"/>
      <c r="B13" s="422" t="s">
        <v>437</v>
      </c>
      <c r="C13" s="107">
        <v>556</v>
      </c>
      <c r="D13" s="402">
        <v>1080</v>
      </c>
      <c r="E13" s="67">
        <f t="shared" si="4"/>
        <v>0.94244604316546754</v>
      </c>
      <c r="F13" s="108">
        <f t="shared" si="5"/>
        <v>524</v>
      </c>
      <c r="G13" s="107">
        <v>-157</v>
      </c>
      <c r="H13" s="107"/>
      <c r="I13" s="67">
        <f t="shared" si="6"/>
        <v>-1</v>
      </c>
      <c r="J13" s="108">
        <f t="shared" si="7"/>
        <v>157</v>
      </c>
      <c r="K13" s="107">
        <v>1978</v>
      </c>
      <c r="L13" s="107"/>
      <c r="M13" s="67">
        <f t="shared" si="0"/>
        <v>-1</v>
      </c>
      <c r="N13" s="108">
        <f t="shared" si="1"/>
        <v>-1978</v>
      </c>
      <c r="O13" s="107">
        <v>1493</v>
      </c>
      <c r="P13" s="107"/>
      <c r="Q13" s="67">
        <f t="shared" si="8"/>
        <v>-1</v>
      </c>
      <c r="R13" s="108">
        <f t="shared" si="9"/>
        <v>-1493</v>
      </c>
      <c r="S13" s="107">
        <v>-700</v>
      </c>
      <c r="T13" s="107">
        <v>2049</v>
      </c>
      <c r="U13" s="67">
        <f t="shared" si="2"/>
        <v>-3.927142857142857</v>
      </c>
      <c r="V13" s="108">
        <f t="shared" si="3"/>
        <v>2749</v>
      </c>
      <c r="X13" s="437"/>
    </row>
    <row r="14" spans="1:24" ht="15.75" customHeight="1" outlineLevel="1">
      <c r="A14" s="421"/>
      <c r="B14" s="422" t="s">
        <v>13</v>
      </c>
      <c r="C14" s="107">
        <v>31</v>
      </c>
      <c r="D14" s="112">
        <v>150</v>
      </c>
      <c r="E14" s="67">
        <f t="shared" si="4"/>
        <v>3.838709677419355</v>
      </c>
      <c r="F14" s="108">
        <f t="shared" si="5"/>
        <v>119</v>
      </c>
      <c r="G14" s="107">
        <v>845</v>
      </c>
      <c r="H14" s="107"/>
      <c r="I14" s="67">
        <f t="shared" si="6"/>
        <v>-1</v>
      </c>
      <c r="J14" s="108">
        <f t="shared" si="7"/>
        <v>-845</v>
      </c>
      <c r="K14" s="107">
        <v>790</v>
      </c>
      <c r="L14" s="107"/>
      <c r="M14" s="67">
        <f t="shared" si="0"/>
        <v>-1</v>
      </c>
      <c r="N14" s="108">
        <f t="shared" si="1"/>
        <v>-790</v>
      </c>
      <c r="O14" s="107">
        <v>2612</v>
      </c>
      <c r="P14" s="107"/>
      <c r="Q14" s="67">
        <f t="shared" si="8"/>
        <v>-1</v>
      </c>
      <c r="R14" s="108">
        <f t="shared" si="9"/>
        <v>-2612</v>
      </c>
      <c r="S14" s="107">
        <v>953</v>
      </c>
      <c r="T14" s="107">
        <v>2643</v>
      </c>
      <c r="U14" s="67">
        <f t="shared" si="2"/>
        <v>1.7733473242392446</v>
      </c>
      <c r="V14" s="108">
        <f t="shared" si="3"/>
        <v>1690</v>
      </c>
      <c r="X14" s="437"/>
    </row>
    <row r="15" spans="1:24" ht="15.75" customHeight="1" outlineLevel="1">
      <c r="A15" s="421"/>
      <c r="B15" s="422" t="s">
        <v>14</v>
      </c>
      <c r="C15" s="107">
        <v>-1</v>
      </c>
      <c r="D15" s="112">
        <v>-1</v>
      </c>
      <c r="E15" s="67">
        <f t="shared" si="4"/>
        <v>0</v>
      </c>
      <c r="F15" s="108">
        <f t="shared" si="5"/>
        <v>0</v>
      </c>
      <c r="G15" s="107">
        <v>-2</v>
      </c>
      <c r="H15" s="107"/>
      <c r="I15" s="67">
        <f t="shared" si="6"/>
        <v>-1</v>
      </c>
      <c r="J15" s="108">
        <f t="shared" si="7"/>
        <v>2</v>
      </c>
      <c r="K15" s="107">
        <v>-1</v>
      </c>
      <c r="L15" s="107"/>
      <c r="M15" s="67">
        <f t="shared" si="0"/>
        <v>-1</v>
      </c>
      <c r="N15" s="108">
        <f t="shared" si="1"/>
        <v>1</v>
      </c>
      <c r="O15" s="107">
        <v>-4</v>
      </c>
      <c r="P15" s="107"/>
      <c r="Q15" s="67">
        <f t="shared" si="8"/>
        <v>-1</v>
      </c>
      <c r="R15" s="108">
        <f t="shared" si="9"/>
        <v>4</v>
      </c>
      <c r="S15" s="107">
        <v>2634</v>
      </c>
      <c r="T15" s="107">
        <v>-5</v>
      </c>
      <c r="U15" s="67">
        <f t="shared" si="2"/>
        <v>-1.0018982536066818</v>
      </c>
      <c r="V15" s="108">
        <f t="shared" si="3"/>
        <v>-2639</v>
      </c>
      <c r="X15" s="437"/>
    </row>
    <row r="16" spans="1:24" ht="15.75" customHeight="1" outlineLevel="1">
      <c r="A16" s="421"/>
      <c r="B16" s="422" t="s">
        <v>458</v>
      </c>
      <c r="C16" s="107"/>
      <c r="D16" s="112"/>
      <c r="E16" s="67"/>
      <c r="F16" s="108"/>
      <c r="G16" s="107">
        <v>0</v>
      </c>
      <c r="H16" s="107"/>
      <c r="I16" s="67"/>
      <c r="J16" s="108"/>
      <c r="K16" s="107">
        <v>0</v>
      </c>
      <c r="L16" s="107"/>
      <c r="M16" s="67" t="str">
        <f t="shared" si="0"/>
        <v>-</v>
      </c>
      <c r="N16" s="108">
        <f t="shared" si="1"/>
        <v>0</v>
      </c>
      <c r="O16" s="107">
        <v>0</v>
      </c>
      <c r="P16" s="107"/>
      <c r="Q16" s="67"/>
      <c r="R16" s="108"/>
      <c r="S16" s="107"/>
      <c r="T16" s="107"/>
      <c r="U16" s="67" t="str">
        <f t="shared" si="2"/>
        <v>-</v>
      </c>
      <c r="V16" s="108">
        <f t="shared" si="3"/>
        <v>0</v>
      </c>
      <c r="X16" s="437"/>
    </row>
    <row r="17" spans="1:25" ht="15.75" customHeight="1" outlineLevel="1">
      <c r="A17" s="421"/>
      <c r="B17" s="422" t="s">
        <v>15</v>
      </c>
      <c r="C17" s="107">
        <v>2284</v>
      </c>
      <c r="D17" s="112">
        <v>4467</v>
      </c>
      <c r="E17" s="67">
        <f t="shared" si="4"/>
        <v>0.9557793345008756</v>
      </c>
      <c r="F17" s="108">
        <f t="shared" si="5"/>
        <v>2183</v>
      </c>
      <c r="G17" s="107">
        <v>2607</v>
      </c>
      <c r="H17" s="107"/>
      <c r="I17" s="67">
        <f t="shared" si="6"/>
        <v>-1</v>
      </c>
      <c r="J17" s="108">
        <f t="shared" si="7"/>
        <v>-2607</v>
      </c>
      <c r="K17" s="107">
        <v>3179</v>
      </c>
      <c r="L17" s="107"/>
      <c r="M17" s="67">
        <f t="shared" si="0"/>
        <v>-1</v>
      </c>
      <c r="N17" s="108">
        <f t="shared" si="1"/>
        <v>-3179</v>
      </c>
      <c r="O17" s="107">
        <v>9717</v>
      </c>
      <c r="P17" s="107"/>
      <c r="Q17" s="67">
        <f t="shared" si="8"/>
        <v>-1</v>
      </c>
      <c r="R17" s="108">
        <f t="shared" si="9"/>
        <v>-9717</v>
      </c>
      <c r="S17" s="107">
        <v>6889</v>
      </c>
      <c r="T17" s="107">
        <v>12001</v>
      </c>
      <c r="U17" s="67">
        <f t="shared" si="2"/>
        <v>0.74205254753955585</v>
      </c>
      <c r="V17" s="108">
        <f t="shared" si="3"/>
        <v>5112</v>
      </c>
      <c r="X17" s="437"/>
    </row>
    <row r="18" spans="1:25" ht="15.75" customHeight="1" outlineLevel="1">
      <c r="A18" s="423"/>
      <c r="B18" s="422" t="s">
        <v>457</v>
      </c>
      <c r="C18" s="107">
        <v>-149</v>
      </c>
      <c r="D18" s="112">
        <v>438</v>
      </c>
      <c r="E18" s="67">
        <f t="shared" si="4"/>
        <v>-3.9395973154362416</v>
      </c>
      <c r="F18" s="108">
        <f t="shared" si="5"/>
        <v>587</v>
      </c>
      <c r="G18" s="107">
        <v>147</v>
      </c>
      <c r="H18" s="107"/>
      <c r="I18" s="67">
        <f t="shared" si="6"/>
        <v>-1</v>
      </c>
      <c r="J18" s="108">
        <f t="shared" si="7"/>
        <v>-147</v>
      </c>
      <c r="K18" s="107">
        <v>11</v>
      </c>
      <c r="L18" s="107"/>
      <c r="M18" s="67">
        <f t="shared" si="0"/>
        <v>-1</v>
      </c>
      <c r="N18" s="108">
        <f t="shared" si="1"/>
        <v>-11</v>
      </c>
      <c r="O18" s="107">
        <v>252</v>
      </c>
      <c r="P18" s="107"/>
      <c r="Q18" s="67">
        <f t="shared" si="8"/>
        <v>-1</v>
      </c>
      <c r="R18" s="108">
        <f t="shared" si="9"/>
        <v>-252</v>
      </c>
      <c r="S18" s="107">
        <v>34600</v>
      </c>
      <c r="T18" s="107">
        <v>103</v>
      </c>
      <c r="U18" s="67">
        <f t="shared" si="2"/>
        <v>-0.99702312138728322</v>
      </c>
      <c r="V18" s="108">
        <f t="shared" si="3"/>
        <v>-34497</v>
      </c>
      <c r="X18" s="437"/>
    </row>
    <row r="19" spans="1:25" ht="15.75" customHeight="1" outlineLevel="1">
      <c r="A19" s="423"/>
      <c r="B19" s="422" t="s">
        <v>414</v>
      </c>
      <c r="C19" s="107">
        <v>761</v>
      </c>
      <c r="D19" s="112">
        <v>8399</v>
      </c>
      <c r="E19" s="67">
        <f>D19/C19-1</f>
        <v>10.036793692509855</v>
      </c>
      <c r="F19" s="108">
        <f t="shared" si="5"/>
        <v>7638</v>
      </c>
      <c r="G19" s="107">
        <v>2083</v>
      </c>
      <c r="H19" s="107"/>
      <c r="I19" s="67"/>
      <c r="J19" s="108"/>
      <c r="K19" s="107">
        <v>-3298</v>
      </c>
      <c r="L19" s="107"/>
      <c r="M19" s="67">
        <f t="shared" si="0"/>
        <v>-1</v>
      </c>
      <c r="N19" s="108">
        <f t="shared" si="1"/>
        <v>3298</v>
      </c>
      <c r="O19" s="107">
        <v>-570</v>
      </c>
      <c r="P19" s="107"/>
      <c r="Q19" s="67"/>
      <c r="R19" s="108"/>
      <c r="S19" s="107">
        <v>1449</v>
      </c>
      <c r="T19" s="107">
        <v>191</v>
      </c>
      <c r="U19" s="67">
        <f t="shared" si="2"/>
        <v>-0.86818495514147687</v>
      </c>
      <c r="V19" s="108">
        <f t="shared" si="3"/>
        <v>-1258</v>
      </c>
      <c r="X19" s="437"/>
    </row>
    <row r="20" spans="1:25" ht="15.75" customHeight="1" outlineLevel="1">
      <c r="A20" s="423"/>
      <c r="B20" s="424" t="s">
        <v>16</v>
      </c>
      <c r="C20" s="107">
        <v>485</v>
      </c>
      <c r="D20" s="112">
        <v>521</v>
      </c>
      <c r="E20" s="67">
        <f t="shared" si="4"/>
        <v>7.4226804123711299E-2</v>
      </c>
      <c r="F20" s="108">
        <f t="shared" si="5"/>
        <v>36</v>
      </c>
      <c r="G20" s="107">
        <v>884</v>
      </c>
      <c r="H20" s="107"/>
      <c r="I20" s="67">
        <f t="shared" si="6"/>
        <v>-1</v>
      </c>
      <c r="J20" s="108">
        <f t="shared" si="7"/>
        <v>-884</v>
      </c>
      <c r="K20" s="107">
        <v>894</v>
      </c>
      <c r="L20" s="107"/>
      <c r="M20" s="67">
        <f t="shared" si="0"/>
        <v>-1</v>
      </c>
      <c r="N20" s="108">
        <f t="shared" si="1"/>
        <v>-894</v>
      </c>
      <c r="O20" s="107">
        <v>2672</v>
      </c>
      <c r="P20" s="107"/>
      <c r="Q20" s="67">
        <f t="shared" si="8"/>
        <v>-1</v>
      </c>
      <c r="R20" s="108">
        <f t="shared" si="9"/>
        <v>-2672</v>
      </c>
      <c r="S20" s="107">
        <v>0</v>
      </c>
      <c r="T20" s="107">
        <v>3157</v>
      </c>
      <c r="U20" s="67" t="str">
        <f t="shared" si="2"/>
        <v>-</v>
      </c>
      <c r="V20" s="108">
        <f t="shared" si="3"/>
        <v>3157</v>
      </c>
      <c r="X20" s="437"/>
    </row>
    <row r="21" spans="1:25" ht="15.75" customHeight="1" outlineLevel="1">
      <c r="A21" s="423"/>
      <c r="B21" s="424" t="s">
        <v>70</v>
      </c>
      <c r="C21" s="107">
        <v>0</v>
      </c>
      <c r="D21" s="112">
        <v>0</v>
      </c>
      <c r="E21" s="80"/>
      <c r="F21" s="108"/>
      <c r="G21" s="107">
        <v>0</v>
      </c>
      <c r="H21" s="107"/>
      <c r="I21" s="80"/>
      <c r="J21" s="108"/>
      <c r="K21" s="107">
        <v>0</v>
      </c>
      <c r="L21" s="107"/>
      <c r="M21" s="80" t="str">
        <f t="shared" si="0"/>
        <v>-</v>
      </c>
      <c r="N21" s="108">
        <f t="shared" si="1"/>
        <v>0</v>
      </c>
      <c r="O21" s="107">
        <v>0</v>
      </c>
      <c r="P21" s="107"/>
      <c r="Q21" s="80"/>
      <c r="R21" s="108"/>
      <c r="S21" s="107"/>
      <c r="T21" s="107"/>
      <c r="U21" s="80" t="str">
        <f t="shared" si="2"/>
        <v>-</v>
      </c>
      <c r="V21" s="108">
        <f t="shared" si="3"/>
        <v>0</v>
      </c>
      <c r="X21" s="437"/>
    </row>
    <row r="22" spans="1:25" ht="15.75" customHeight="1" outlineLevel="1">
      <c r="A22" s="423"/>
      <c r="B22" s="424" t="s">
        <v>17</v>
      </c>
      <c r="C22" s="107">
        <v>27</v>
      </c>
      <c r="D22" s="112">
        <v>-14</v>
      </c>
      <c r="E22" s="80">
        <f>D22/C22-1</f>
        <v>-1.5185185185185186</v>
      </c>
      <c r="F22" s="108">
        <f>D22-C22</f>
        <v>-41</v>
      </c>
      <c r="G22" s="107">
        <v>-135</v>
      </c>
      <c r="H22" s="107"/>
      <c r="I22" s="80">
        <f>H22/G22-1</f>
        <v>-1</v>
      </c>
      <c r="J22" s="108">
        <f>H22-G22</f>
        <v>135</v>
      </c>
      <c r="K22" s="107">
        <v>519</v>
      </c>
      <c r="L22" s="107"/>
      <c r="M22" s="80">
        <f t="shared" si="0"/>
        <v>-1</v>
      </c>
      <c r="N22" s="108">
        <f t="shared" si="1"/>
        <v>-519</v>
      </c>
      <c r="O22" s="107">
        <v>-28</v>
      </c>
      <c r="P22" s="107"/>
      <c r="Q22" s="80">
        <f>P22/O22-1</f>
        <v>-1</v>
      </c>
      <c r="R22" s="108">
        <f>P22-O22</f>
        <v>28</v>
      </c>
      <c r="S22" s="107">
        <v>-38</v>
      </c>
      <c r="T22" s="107">
        <v>-1</v>
      </c>
      <c r="U22" s="80">
        <f t="shared" si="2"/>
        <v>-0.97368421052631582</v>
      </c>
      <c r="V22" s="108">
        <f t="shared" si="3"/>
        <v>37</v>
      </c>
      <c r="X22" s="437"/>
    </row>
    <row r="23" spans="1:25" ht="15.75" customHeight="1" outlineLevel="1">
      <c r="A23" s="427"/>
      <c r="B23" s="428"/>
      <c r="C23" s="22">
        <f t="shared" ref="C23:D23" si="10">SUM(C4:C22)</f>
        <v>3125</v>
      </c>
      <c r="D23" s="22">
        <f t="shared" si="10"/>
        <v>14573</v>
      </c>
      <c r="E23" s="82">
        <f>D23/C23-1</f>
        <v>3.6633599999999999</v>
      </c>
      <c r="F23" s="109">
        <f>D23-C23</f>
        <v>11448</v>
      </c>
      <c r="G23" s="22">
        <v>20508</v>
      </c>
      <c r="H23" s="22"/>
      <c r="I23" s="82">
        <f>H23/G23-1</f>
        <v>-1</v>
      </c>
      <c r="J23" s="109">
        <f>H23-G23</f>
        <v>-20508</v>
      </c>
      <c r="K23" s="22">
        <v>13141</v>
      </c>
      <c r="L23" s="22"/>
      <c r="M23" s="82">
        <f t="shared" si="0"/>
        <v>-1</v>
      </c>
      <c r="N23" s="109">
        <f t="shared" si="1"/>
        <v>-13141</v>
      </c>
      <c r="O23" s="22">
        <v>70701</v>
      </c>
      <c r="P23" s="22"/>
      <c r="Q23" s="82">
        <f>P23/O23-1</f>
        <v>-1</v>
      </c>
      <c r="R23" s="109">
        <f>P23-O23</f>
        <v>-70701</v>
      </c>
      <c r="S23" s="22">
        <f>SUM(S4:S22)</f>
        <v>44180</v>
      </c>
      <c r="T23" s="22">
        <f>SUM(T4:T22)</f>
        <v>73826</v>
      </c>
      <c r="U23" s="82">
        <f t="shared" si="2"/>
        <v>0.67102761430511548</v>
      </c>
      <c r="V23" s="109">
        <f t="shared" si="3"/>
        <v>29646</v>
      </c>
      <c r="X23" s="437"/>
    </row>
    <row r="24" spans="1:25" ht="20.25" customHeight="1">
      <c r="A24" s="420" t="s">
        <v>18</v>
      </c>
      <c r="C24" s="19"/>
      <c r="D24" s="28"/>
      <c r="E24" s="67"/>
      <c r="F24" s="68"/>
      <c r="G24" s="55">
        <v>0</v>
      </c>
      <c r="H24" s="107"/>
      <c r="I24" s="67"/>
      <c r="J24" s="68"/>
      <c r="K24" s="28"/>
      <c r="L24" s="28"/>
      <c r="M24" s="67"/>
      <c r="N24" s="68"/>
      <c r="O24" s="28"/>
      <c r="P24" s="28"/>
      <c r="Q24" s="67"/>
      <c r="R24" s="68"/>
      <c r="S24" s="28"/>
      <c r="T24" s="28"/>
      <c r="U24" s="67"/>
      <c r="V24" s="68"/>
      <c r="X24" s="437"/>
    </row>
    <row r="25" spans="1:25" ht="15.75" customHeight="1" outlineLevel="1">
      <c r="A25" s="420"/>
      <c r="B25" s="422" t="s">
        <v>438</v>
      </c>
      <c r="C25" s="19">
        <v>0</v>
      </c>
      <c r="D25" s="19">
        <v>0</v>
      </c>
      <c r="E25" s="67"/>
      <c r="F25" s="68"/>
      <c r="G25" s="28">
        <v>0</v>
      </c>
      <c r="H25" s="107"/>
      <c r="I25" s="67"/>
      <c r="J25" s="68"/>
      <c r="K25" s="28"/>
      <c r="L25" s="107"/>
      <c r="M25" s="67"/>
      <c r="N25" s="68"/>
      <c r="O25" s="28"/>
      <c r="P25" s="28"/>
      <c r="Q25" s="67"/>
      <c r="R25" s="68"/>
      <c r="S25" s="19"/>
      <c r="T25" s="19"/>
      <c r="U25" s="67"/>
      <c r="V25" s="68"/>
      <c r="W25" s="119"/>
      <c r="X25" s="437"/>
    </row>
    <row r="26" spans="1:25" ht="15.75" customHeight="1" outlineLevel="1">
      <c r="A26" s="421"/>
      <c r="B26" s="422" t="s">
        <v>439</v>
      </c>
      <c r="C26" s="107">
        <v>34726</v>
      </c>
      <c r="D26" s="107">
        <v>19852</v>
      </c>
      <c r="E26" s="67">
        <f t="shared" ref="E26:E32" si="11">D26/C26-1</f>
        <v>-0.42832459828370673</v>
      </c>
      <c r="F26" s="108">
        <f t="shared" ref="F26:F32" si="12">D26-C26</f>
        <v>-14874</v>
      </c>
      <c r="G26" s="107">
        <v>-3459</v>
      </c>
      <c r="H26" s="107"/>
      <c r="I26" s="67">
        <f t="shared" ref="I26:I33" si="13">H26/G27-1</f>
        <v>-1</v>
      </c>
      <c r="J26" s="108">
        <f t="shared" ref="J26:J34" si="14">H26-G27</f>
        <v>12293</v>
      </c>
      <c r="K26" s="107">
        <v>-4771</v>
      </c>
      <c r="L26" s="107"/>
      <c r="M26" s="67">
        <f t="shared" ref="M26:M36" si="15">IFERROR(L26/K26-1,"-")</f>
        <v>-1</v>
      </c>
      <c r="N26" s="108">
        <f t="shared" ref="N26:N36" si="16">L26-K26</f>
        <v>4771</v>
      </c>
      <c r="O26" s="107">
        <v>-44850</v>
      </c>
      <c r="P26" s="107"/>
      <c r="Q26" s="67">
        <f t="shared" ref="Q26:Q32" si="17">P26/O26-1</f>
        <v>-1</v>
      </c>
      <c r="R26" s="108">
        <f t="shared" ref="R26:R32" si="18">P26-O26</f>
        <v>44850</v>
      </c>
      <c r="S26" s="107">
        <v>3601</v>
      </c>
      <c r="T26" s="107">
        <v>-10124</v>
      </c>
      <c r="U26" s="67">
        <f t="shared" ref="U26:U36" si="19">IFERROR(T26/S26-1,"-")</f>
        <v>-3.8114412663149126</v>
      </c>
      <c r="V26" s="108">
        <f t="shared" ref="V26:V36" si="20">T26-S26</f>
        <v>-13725</v>
      </c>
      <c r="W26"/>
      <c r="X26" s="437"/>
      <c r="Y26"/>
    </row>
    <row r="27" spans="1:25" ht="15.75" customHeight="1" outlineLevel="1">
      <c r="A27" s="421"/>
      <c r="B27" s="422" t="s">
        <v>19</v>
      </c>
      <c r="C27" s="107">
        <v>-14764</v>
      </c>
      <c r="D27" s="107">
        <v>-21433</v>
      </c>
      <c r="E27" s="67">
        <f t="shared" si="11"/>
        <v>0.45170685451097259</v>
      </c>
      <c r="F27" s="108">
        <f t="shared" si="12"/>
        <v>-6669</v>
      </c>
      <c r="G27" s="107">
        <v>-12293</v>
      </c>
      <c r="H27" s="107"/>
      <c r="I27" s="67">
        <f t="shared" si="13"/>
        <v>-1</v>
      </c>
      <c r="J27" s="108">
        <f t="shared" si="14"/>
        <v>-3249</v>
      </c>
      <c r="K27" s="107">
        <v>-12728</v>
      </c>
      <c r="L27" s="107"/>
      <c r="M27" s="67">
        <f t="shared" si="15"/>
        <v>-1</v>
      </c>
      <c r="N27" s="108">
        <f t="shared" si="16"/>
        <v>12728</v>
      </c>
      <c r="O27" s="107">
        <v>-22954</v>
      </c>
      <c r="P27" s="107"/>
      <c r="Q27" s="67">
        <f t="shared" si="17"/>
        <v>-1</v>
      </c>
      <c r="R27" s="108">
        <f t="shared" si="18"/>
        <v>22954</v>
      </c>
      <c r="S27" s="107">
        <v>40530</v>
      </c>
      <c r="T27" s="107">
        <v>-37718</v>
      </c>
      <c r="U27" s="67">
        <f t="shared" si="19"/>
        <v>-1.9306192943498643</v>
      </c>
      <c r="V27" s="108">
        <f t="shared" si="20"/>
        <v>-78248</v>
      </c>
      <c r="W27"/>
      <c r="X27" s="437"/>
      <c r="Y27"/>
    </row>
    <row r="28" spans="1:25" ht="15.75" customHeight="1" outlineLevel="1">
      <c r="A28" s="421"/>
      <c r="B28" s="422" t="s">
        <v>20</v>
      </c>
      <c r="C28" s="107">
        <v>1271</v>
      </c>
      <c r="D28" s="107">
        <v>4732</v>
      </c>
      <c r="E28" s="67">
        <f t="shared" si="11"/>
        <v>2.7230527143981118</v>
      </c>
      <c r="F28" s="108">
        <f t="shared" si="12"/>
        <v>3461</v>
      </c>
      <c r="G28" s="107">
        <v>3249</v>
      </c>
      <c r="H28" s="107"/>
      <c r="I28" s="67">
        <f t="shared" si="13"/>
        <v>-1</v>
      </c>
      <c r="J28" s="108">
        <f t="shared" si="14"/>
        <v>-1294</v>
      </c>
      <c r="K28" s="107">
        <v>4006</v>
      </c>
      <c r="L28" s="107"/>
      <c r="M28" s="67">
        <f t="shared" si="15"/>
        <v>-1</v>
      </c>
      <c r="N28" s="108">
        <f t="shared" si="16"/>
        <v>-4006</v>
      </c>
      <c r="O28" s="107">
        <v>19073</v>
      </c>
      <c r="P28" s="107"/>
      <c r="Q28" s="67">
        <f t="shared" si="17"/>
        <v>-1</v>
      </c>
      <c r="R28" s="108">
        <f t="shared" si="18"/>
        <v>-19073</v>
      </c>
      <c r="S28" s="107">
        <v>8846</v>
      </c>
      <c r="T28" s="107">
        <v>20344</v>
      </c>
      <c r="U28" s="67">
        <f t="shared" si="19"/>
        <v>1.2997965182003166</v>
      </c>
      <c r="V28" s="108">
        <f t="shared" si="20"/>
        <v>11498</v>
      </c>
      <c r="W28"/>
      <c r="X28" s="437"/>
      <c r="Y28"/>
    </row>
    <row r="29" spans="1:25" ht="15.75" customHeight="1" outlineLevel="1">
      <c r="A29" s="421"/>
      <c r="B29" s="422" t="s">
        <v>53</v>
      </c>
      <c r="C29" s="107">
        <v>-280</v>
      </c>
      <c r="D29" s="107">
        <v>628</v>
      </c>
      <c r="E29" s="67">
        <f t="shared" si="11"/>
        <v>-3.2428571428571429</v>
      </c>
      <c r="F29" s="108">
        <f t="shared" si="12"/>
        <v>908</v>
      </c>
      <c r="G29" s="107">
        <v>1294</v>
      </c>
      <c r="H29" s="107"/>
      <c r="I29" s="67">
        <f t="shared" si="13"/>
        <v>-1</v>
      </c>
      <c r="J29" s="108">
        <f t="shared" si="14"/>
        <v>-162</v>
      </c>
      <c r="K29" s="107">
        <v>1136</v>
      </c>
      <c r="L29" s="107"/>
      <c r="M29" s="67">
        <f t="shared" si="15"/>
        <v>-1</v>
      </c>
      <c r="N29" s="108">
        <f t="shared" si="16"/>
        <v>-1136</v>
      </c>
      <c r="O29" s="107">
        <v>1183</v>
      </c>
      <c r="P29" s="107"/>
      <c r="Q29" s="67">
        <f t="shared" si="17"/>
        <v>-1</v>
      </c>
      <c r="R29" s="108">
        <f t="shared" si="18"/>
        <v>-1183</v>
      </c>
      <c r="S29" s="107">
        <v>3879</v>
      </c>
      <c r="T29" s="107">
        <v>903</v>
      </c>
      <c r="U29" s="67">
        <f t="shared" si="19"/>
        <v>-0.76720804331013148</v>
      </c>
      <c r="V29" s="108">
        <f t="shared" si="20"/>
        <v>-2976</v>
      </c>
      <c r="W29"/>
      <c r="X29" s="437"/>
      <c r="Y29"/>
    </row>
    <row r="30" spans="1:25" ht="15.75" customHeight="1" outlineLevel="1">
      <c r="A30" s="421"/>
      <c r="B30" s="422" t="s">
        <v>21</v>
      </c>
      <c r="C30" s="107">
        <v>9962</v>
      </c>
      <c r="D30" s="107">
        <v>-8683</v>
      </c>
      <c r="E30" s="67">
        <f t="shared" si="11"/>
        <v>-1.8716121260791005</v>
      </c>
      <c r="F30" s="108">
        <f t="shared" si="12"/>
        <v>-18645</v>
      </c>
      <c r="G30" s="107">
        <v>162</v>
      </c>
      <c r="H30" s="107"/>
      <c r="I30" s="67">
        <f t="shared" si="13"/>
        <v>-1</v>
      </c>
      <c r="J30" s="108">
        <f t="shared" si="14"/>
        <v>-3392</v>
      </c>
      <c r="K30" s="107">
        <v>14306</v>
      </c>
      <c r="L30" s="107"/>
      <c r="M30" s="67">
        <f t="shared" si="15"/>
        <v>-1</v>
      </c>
      <c r="N30" s="108">
        <f t="shared" si="16"/>
        <v>-14306</v>
      </c>
      <c r="O30" s="107">
        <v>6398</v>
      </c>
      <c r="P30" s="107"/>
      <c r="Q30" s="67">
        <f t="shared" si="17"/>
        <v>-1</v>
      </c>
      <c r="R30" s="108">
        <f t="shared" si="18"/>
        <v>-6398</v>
      </c>
      <c r="S30" s="107">
        <v>-71953</v>
      </c>
      <c r="T30" s="107">
        <v>16360</v>
      </c>
      <c r="U30" s="67">
        <f t="shared" si="19"/>
        <v>-1.2273706447264185</v>
      </c>
      <c r="V30" s="108">
        <f t="shared" si="20"/>
        <v>88313</v>
      </c>
      <c r="W30"/>
      <c r="X30" s="437"/>
      <c r="Y30"/>
    </row>
    <row r="31" spans="1:25" ht="15.75" customHeight="1" outlineLevel="1">
      <c r="A31" s="421"/>
      <c r="B31" s="422" t="s">
        <v>440</v>
      </c>
      <c r="C31" s="107">
        <v>1727</v>
      </c>
      <c r="D31" s="107">
        <v>-4550</v>
      </c>
      <c r="E31" s="67">
        <f t="shared" si="11"/>
        <v>-3.6346265199768384</v>
      </c>
      <c r="F31" s="108">
        <f t="shared" si="12"/>
        <v>-6277</v>
      </c>
      <c r="G31" s="107">
        <v>3392</v>
      </c>
      <c r="H31" s="107"/>
      <c r="I31" s="67">
        <f t="shared" si="13"/>
        <v>-1</v>
      </c>
      <c r="J31" s="108">
        <f t="shared" si="14"/>
        <v>-3587</v>
      </c>
      <c r="K31" s="107">
        <v>2622</v>
      </c>
      <c r="L31" s="107"/>
      <c r="M31" s="67">
        <f t="shared" si="15"/>
        <v>-1</v>
      </c>
      <c r="N31" s="108">
        <f t="shared" si="16"/>
        <v>-2622</v>
      </c>
      <c r="O31" s="107">
        <v>5514</v>
      </c>
      <c r="P31" s="107"/>
      <c r="Q31" s="67">
        <f t="shared" si="17"/>
        <v>-1</v>
      </c>
      <c r="R31" s="108">
        <f t="shared" si="18"/>
        <v>-5514</v>
      </c>
      <c r="S31" s="107">
        <v>-2037</v>
      </c>
      <c r="T31" s="107">
        <v>7241</v>
      </c>
      <c r="U31" s="67">
        <f t="shared" si="19"/>
        <v>-4.55473735886107</v>
      </c>
      <c r="V31" s="108">
        <f t="shared" si="20"/>
        <v>9278</v>
      </c>
      <c r="W31" s="403"/>
      <c r="X31" s="437"/>
      <c r="Y31" s="403"/>
    </row>
    <row r="32" spans="1:25" ht="15.75" customHeight="1" outlineLevel="1">
      <c r="A32" s="421"/>
      <c r="B32" s="422" t="s">
        <v>22</v>
      </c>
      <c r="C32" s="107">
        <v>-1394</v>
      </c>
      <c r="D32" s="107">
        <v>2944</v>
      </c>
      <c r="E32" s="67">
        <f t="shared" si="11"/>
        <v>-3.1119081779053084</v>
      </c>
      <c r="F32" s="108">
        <f t="shared" si="12"/>
        <v>4338</v>
      </c>
      <c r="G32" s="107">
        <v>3587</v>
      </c>
      <c r="H32" s="107"/>
      <c r="I32" s="67">
        <f t="shared" si="13"/>
        <v>-1</v>
      </c>
      <c r="J32" s="108">
        <f t="shared" si="14"/>
        <v>2628</v>
      </c>
      <c r="K32" s="107">
        <v>-163</v>
      </c>
      <c r="L32" s="107"/>
      <c r="M32" s="67">
        <f t="shared" si="15"/>
        <v>-1</v>
      </c>
      <c r="N32" s="108">
        <f t="shared" si="16"/>
        <v>163</v>
      </c>
      <c r="O32" s="107">
        <v>409</v>
      </c>
      <c r="P32" s="107"/>
      <c r="Q32" s="67">
        <f t="shared" si="17"/>
        <v>-1</v>
      </c>
      <c r="R32" s="108">
        <f t="shared" si="18"/>
        <v>-409</v>
      </c>
      <c r="S32" s="107">
        <v>-343</v>
      </c>
      <c r="T32" s="107">
        <v>-985</v>
      </c>
      <c r="U32" s="67">
        <f t="shared" si="19"/>
        <v>1.8717201166180759</v>
      </c>
      <c r="V32" s="108">
        <f t="shared" si="20"/>
        <v>-642</v>
      </c>
      <c r="W32"/>
      <c r="X32" s="437"/>
      <c r="Y32"/>
    </row>
    <row r="33" spans="1:25" ht="15.75" customHeight="1" outlineLevel="1">
      <c r="A33" s="421"/>
      <c r="B33" s="422" t="s">
        <v>23</v>
      </c>
      <c r="C33" s="107">
        <v>-2291</v>
      </c>
      <c r="D33" s="485">
        <v>-5285</v>
      </c>
      <c r="E33" s="67">
        <f>D33/C33-1</f>
        <v>1.3068529026625928</v>
      </c>
      <c r="F33" s="108">
        <f>D33-C33</f>
        <v>-2994</v>
      </c>
      <c r="G33" s="107">
        <v>-2628</v>
      </c>
      <c r="H33" s="107"/>
      <c r="I33" s="67">
        <f t="shared" si="13"/>
        <v>-1</v>
      </c>
      <c r="J33" s="108">
        <f t="shared" si="14"/>
        <v>5153</v>
      </c>
      <c r="K33" s="107">
        <v>-4009</v>
      </c>
      <c r="L33" s="107"/>
      <c r="M33" s="67">
        <f t="shared" si="15"/>
        <v>-1</v>
      </c>
      <c r="N33" s="108">
        <f t="shared" si="16"/>
        <v>4009</v>
      </c>
      <c r="O33" s="107">
        <v>-11303</v>
      </c>
      <c r="P33" s="107"/>
      <c r="Q33" s="67">
        <f>P33/O33-1</f>
        <v>-1</v>
      </c>
      <c r="R33" s="108">
        <f>P33-O33</f>
        <v>11303</v>
      </c>
      <c r="S33" s="107">
        <v>-12898</v>
      </c>
      <c r="T33" s="107">
        <v>-13800</v>
      </c>
      <c r="U33" s="67">
        <f t="shared" si="19"/>
        <v>6.993332299581323E-2</v>
      </c>
      <c r="V33" s="108">
        <f t="shared" si="20"/>
        <v>-902</v>
      </c>
      <c r="W33"/>
      <c r="X33" s="437"/>
      <c r="Y33"/>
    </row>
    <row r="34" spans="1:25" ht="15.75" customHeight="1" outlineLevel="1">
      <c r="A34" s="421"/>
      <c r="B34" s="422" t="s">
        <v>24</v>
      </c>
      <c r="C34" s="107">
        <v>-206</v>
      </c>
      <c r="D34" s="107">
        <v>-481</v>
      </c>
      <c r="E34" s="67"/>
      <c r="F34" s="108">
        <f>D34-C34</f>
        <v>-275</v>
      </c>
      <c r="G34" s="107">
        <v>-5153</v>
      </c>
      <c r="H34" s="107"/>
      <c r="I34" s="67"/>
      <c r="J34" s="108">
        <f t="shared" si="14"/>
        <v>0</v>
      </c>
      <c r="K34" s="107">
        <v>-3708</v>
      </c>
      <c r="L34" s="107"/>
      <c r="M34" s="67">
        <f t="shared" si="15"/>
        <v>-1</v>
      </c>
      <c r="N34" s="108">
        <f t="shared" si="16"/>
        <v>3708</v>
      </c>
      <c r="O34" s="107">
        <v>0</v>
      </c>
      <c r="P34" s="107"/>
      <c r="Q34" s="67"/>
      <c r="R34" s="108">
        <f>P34-O34</f>
        <v>0</v>
      </c>
      <c r="S34" s="107">
        <v>0</v>
      </c>
      <c r="T34" s="107">
        <v>0</v>
      </c>
      <c r="U34" s="67" t="str">
        <f t="shared" si="19"/>
        <v>-</v>
      </c>
      <c r="V34" s="108">
        <f t="shared" si="20"/>
        <v>0</v>
      </c>
      <c r="W34"/>
      <c r="X34" s="437"/>
      <c r="Y34"/>
    </row>
    <row r="35" spans="1:25" ht="15.75" customHeight="1">
      <c r="A35" s="423"/>
      <c r="B35" s="424" t="s">
        <v>17</v>
      </c>
      <c r="C35" s="18">
        <v>0</v>
      </c>
      <c r="D35" s="34">
        <v>0</v>
      </c>
      <c r="E35" s="80"/>
      <c r="F35" s="81"/>
      <c r="G35" s="107">
        <v>0</v>
      </c>
      <c r="H35" s="107"/>
      <c r="I35" s="80"/>
      <c r="J35" s="81"/>
      <c r="K35" s="107">
        <v>0</v>
      </c>
      <c r="L35" s="107"/>
      <c r="M35" s="80" t="str">
        <f t="shared" si="15"/>
        <v>-</v>
      </c>
      <c r="N35" s="81">
        <f t="shared" si="16"/>
        <v>0</v>
      </c>
      <c r="O35" s="107">
        <v>-13590</v>
      </c>
      <c r="P35" s="107"/>
      <c r="Q35" s="80"/>
      <c r="R35" s="81"/>
      <c r="S35" s="107">
        <v>-853</v>
      </c>
      <c r="T35" s="107">
        <v>-13590</v>
      </c>
      <c r="U35" s="80">
        <f t="shared" si="19"/>
        <v>14.932004689331769</v>
      </c>
      <c r="V35" s="81">
        <f t="shared" si="20"/>
        <v>-12737</v>
      </c>
      <c r="W35"/>
      <c r="X35" s="437"/>
      <c r="Y35"/>
    </row>
    <row r="36" spans="1:25" ht="15.75" customHeight="1" outlineLevel="1">
      <c r="A36" s="427" t="s">
        <v>441</v>
      </c>
      <c r="B36" s="428"/>
      <c r="C36" s="21">
        <f>SUM(C23:C35)</f>
        <v>31876</v>
      </c>
      <c r="D36" s="21">
        <f t="shared" ref="D36" si="21">SUM(D23:D35)</f>
        <v>2297</v>
      </c>
      <c r="E36" s="82">
        <f>D36/C36-1</f>
        <v>-0.92793951562303922</v>
      </c>
      <c r="F36" s="109">
        <f>D36-C36</f>
        <v>-29579</v>
      </c>
      <c r="G36" s="21">
        <v>8659</v>
      </c>
      <c r="H36" s="21"/>
      <c r="I36" s="82">
        <f>H36/G36-1</f>
        <v>-1</v>
      </c>
      <c r="J36" s="109">
        <f>H36-G36</f>
        <v>-8659</v>
      </c>
      <c r="K36" s="21">
        <v>9832</v>
      </c>
      <c r="L36" s="21"/>
      <c r="M36" s="82">
        <f t="shared" si="15"/>
        <v>-1</v>
      </c>
      <c r="N36" s="109">
        <f t="shared" si="16"/>
        <v>-9832</v>
      </c>
      <c r="O36" s="21">
        <v>10581</v>
      </c>
      <c r="P36" s="21"/>
      <c r="Q36" s="82">
        <f>P36/O36-1</f>
        <v>-1</v>
      </c>
      <c r="R36" s="109">
        <f>P36-O36</f>
        <v>-10581</v>
      </c>
      <c r="S36" s="21">
        <f>SUM(S23:S35)</f>
        <v>12952</v>
      </c>
      <c r="T36" s="21">
        <f>SUM(T23:T35)</f>
        <v>42457</v>
      </c>
      <c r="U36" s="82">
        <f t="shared" si="19"/>
        <v>2.2780265596046942</v>
      </c>
      <c r="V36" s="109">
        <f t="shared" si="20"/>
        <v>29505</v>
      </c>
      <c r="W36"/>
      <c r="X36" s="437"/>
      <c r="Y36"/>
    </row>
    <row r="37" spans="1:25" ht="15.75" customHeight="1" outlineLevel="1">
      <c r="A37" s="421" t="s">
        <v>25</v>
      </c>
      <c r="B37" s="422"/>
      <c r="C37" s="17"/>
      <c r="D37" s="28"/>
      <c r="E37" s="67"/>
      <c r="F37" s="68"/>
      <c r="G37" s="28"/>
      <c r="H37" s="107"/>
      <c r="I37" s="67"/>
      <c r="J37" s="68"/>
      <c r="K37" s="28"/>
      <c r="L37" s="28"/>
      <c r="M37" s="67"/>
      <c r="N37" s="68"/>
      <c r="O37" s="107">
        <v>0</v>
      </c>
      <c r="P37" s="107"/>
      <c r="Q37" s="67"/>
      <c r="R37" s="68"/>
      <c r="S37" s="28"/>
      <c r="T37" s="28"/>
      <c r="U37" s="67"/>
      <c r="V37" s="68"/>
      <c r="W37"/>
      <c r="X37" s="437"/>
      <c r="Y37"/>
    </row>
    <row r="38" spans="1:25" ht="15.75" customHeight="1" outlineLevel="1">
      <c r="A38" s="421"/>
      <c r="B38" s="422" t="s">
        <v>405</v>
      </c>
      <c r="C38" s="112">
        <v>13</v>
      </c>
      <c r="D38" s="112">
        <v>672</v>
      </c>
      <c r="E38" s="67">
        <f>D38/C38-1</f>
        <v>50.692307692307693</v>
      </c>
      <c r="F38" s="108">
        <f>D38-C38</f>
        <v>659</v>
      </c>
      <c r="G38" s="107">
        <v>1029</v>
      </c>
      <c r="H38" s="107"/>
      <c r="I38" s="67">
        <f>H38/G38-1</f>
        <v>-1</v>
      </c>
      <c r="J38" s="108">
        <f>H38-G38</f>
        <v>-1029</v>
      </c>
      <c r="K38" s="107">
        <v>2236</v>
      </c>
      <c r="L38" s="107"/>
      <c r="M38" s="67">
        <f t="shared" ref="M38:M47" si="22">IFERROR(L38/K38-1,"-")</f>
        <v>-1</v>
      </c>
      <c r="N38" s="108">
        <f t="shared" ref="N38:N47" si="23">L38-K38</f>
        <v>-2236</v>
      </c>
      <c r="O38" s="107">
        <v>4219</v>
      </c>
      <c r="P38" s="107"/>
      <c r="Q38" s="67">
        <f>P38/O38-1</f>
        <v>-1</v>
      </c>
      <c r="R38" s="108">
        <f>P38-O38</f>
        <v>-4219</v>
      </c>
      <c r="S38" s="107">
        <v>642</v>
      </c>
      <c r="T38" s="107">
        <v>3203</v>
      </c>
      <c r="U38" s="67">
        <f t="shared" ref="U38:U47" si="24">IFERROR(T38/S38-1,"-")</f>
        <v>3.9890965732087231</v>
      </c>
      <c r="V38" s="108">
        <f t="shared" ref="V38:V47" si="25">T38-S38</f>
        <v>2561</v>
      </c>
      <c r="W38"/>
      <c r="X38" s="437"/>
      <c r="Y38"/>
    </row>
    <row r="39" spans="1:25" ht="15.75" customHeight="1" outlineLevel="1">
      <c r="A39" s="421"/>
      <c r="B39" s="422" t="s">
        <v>442</v>
      </c>
      <c r="C39" s="107">
        <v>0</v>
      </c>
      <c r="D39" s="112">
        <v>0</v>
      </c>
      <c r="E39" s="67"/>
      <c r="F39" s="108"/>
      <c r="G39" s="107">
        <v>0</v>
      </c>
      <c r="H39" s="107"/>
      <c r="I39" s="67"/>
      <c r="J39" s="108"/>
      <c r="K39" s="107">
        <v>0</v>
      </c>
      <c r="L39" s="107"/>
      <c r="M39" s="67" t="str">
        <f t="shared" si="22"/>
        <v>-</v>
      </c>
      <c r="N39" s="108">
        <f t="shared" si="23"/>
        <v>0</v>
      </c>
      <c r="O39" s="107">
        <v>0</v>
      </c>
      <c r="P39" s="107"/>
      <c r="Q39" s="67"/>
      <c r="R39" s="108"/>
      <c r="S39" s="107">
        <v>0</v>
      </c>
      <c r="T39" s="107">
        <v>0</v>
      </c>
      <c r="U39" s="67" t="str">
        <f t="shared" si="24"/>
        <v>-</v>
      </c>
      <c r="V39" s="108">
        <f t="shared" si="25"/>
        <v>0</v>
      </c>
      <c r="W39"/>
      <c r="X39" s="437"/>
      <c r="Y39"/>
    </row>
    <row r="40" spans="1:25" ht="15.75" customHeight="1" outlineLevel="1">
      <c r="A40" s="421"/>
      <c r="B40" s="422" t="s">
        <v>443</v>
      </c>
      <c r="C40" s="107">
        <v>0</v>
      </c>
      <c r="D40" s="112">
        <v>0</v>
      </c>
      <c r="E40" s="67"/>
      <c r="F40" s="108"/>
      <c r="G40" s="107">
        <v>0</v>
      </c>
      <c r="H40" s="107"/>
      <c r="I40" s="67"/>
      <c r="J40" s="108"/>
      <c r="K40" s="107">
        <v>0</v>
      </c>
      <c r="L40" s="107"/>
      <c r="M40" s="67" t="str">
        <f t="shared" si="22"/>
        <v>-</v>
      </c>
      <c r="N40" s="108">
        <f t="shared" si="23"/>
        <v>0</v>
      </c>
      <c r="O40" s="107">
        <v>0</v>
      </c>
      <c r="P40" s="107"/>
      <c r="Q40" s="67"/>
      <c r="R40" s="108"/>
      <c r="S40" s="107">
        <v>0</v>
      </c>
      <c r="T40" s="107">
        <v>0</v>
      </c>
      <c r="U40" s="67" t="str">
        <f t="shared" si="24"/>
        <v>-</v>
      </c>
      <c r="V40" s="108">
        <f t="shared" si="25"/>
        <v>0</v>
      </c>
      <c r="W40"/>
      <c r="X40" s="437"/>
      <c r="Y40"/>
    </row>
    <row r="41" spans="1:25" ht="15.75" customHeight="1" outlineLevel="1">
      <c r="A41" s="421"/>
      <c r="B41" s="422" t="s">
        <v>444</v>
      </c>
      <c r="C41" s="107">
        <v>-1016</v>
      </c>
      <c r="D41" s="112">
        <v>0</v>
      </c>
      <c r="E41" s="67">
        <f>D41/C41-1</f>
        <v>-1</v>
      </c>
      <c r="F41" s="108">
        <f>D41-C41</f>
        <v>1016</v>
      </c>
      <c r="G41" s="107">
        <v>-1045</v>
      </c>
      <c r="H41" s="107"/>
      <c r="I41" s="67">
        <f>H41/G41-1</f>
        <v>-1</v>
      </c>
      <c r="J41" s="108">
        <f>H41-G41</f>
        <v>1045</v>
      </c>
      <c r="K41" s="107">
        <v>1032</v>
      </c>
      <c r="L41" s="107"/>
      <c r="M41" s="67">
        <f t="shared" si="22"/>
        <v>-1</v>
      </c>
      <c r="N41" s="108">
        <f t="shared" si="23"/>
        <v>-1032</v>
      </c>
      <c r="O41" s="107">
        <v>-13</v>
      </c>
      <c r="P41" s="107"/>
      <c r="Q41" s="67">
        <f>P41/O41-1</f>
        <v>-1</v>
      </c>
      <c r="R41" s="108">
        <f>P41-O41</f>
        <v>13</v>
      </c>
      <c r="S41" s="107">
        <v>-538</v>
      </c>
      <c r="T41" s="107">
        <v>0</v>
      </c>
      <c r="U41" s="67">
        <f t="shared" si="24"/>
        <v>-1</v>
      </c>
      <c r="V41" s="108">
        <f t="shared" si="25"/>
        <v>538</v>
      </c>
      <c r="W41"/>
      <c r="X41" s="437"/>
      <c r="Y41"/>
    </row>
    <row r="42" spans="1:25" ht="15.75" customHeight="1" outlineLevel="1">
      <c r="A42" s="421"/>
      <c r="B42" s="422" t="s">
        <v>409</v>
      </c>
      <c r="C42" s="107">
        <v>0</v>
      </c>
      <c r="D42" s="112">
        <v>-3</v>
      </c>
      <c r="E42" s="67"/>
      <c r="F42" s="108"/>
      <c r="G42" s="107">
        <v>0</v>
      </c>
      <c r="H42" s="107"/>
      <c r="I42" s="67"/>
      <c r="J42" s="108"/>
      <c r="K42" s="107">
        <v>0</v>
      </c>
      <c r="L42" s="107"/>
      <c r="M42" s="67" t="str">
        <f t="shared" si="22"/>
        <v>-</v>
      </c>
      <c r="N42" s="108">
        <f t="shared" si="23"/>
        <v>0</v>
      </c>
      <c r="O42" s="107">
        <v>0</v>
      </c>
      <c r="P42" s="107"/>
      <c r="Q42" s="67"/>
      <c r="R42" s="108"/>
      <c r="S42" s="107">
        <v>0</v>
      </c>
      <c r="T42" s="107">
        <v>0</v>
      </c>
      <c r="U42" s="67" t="str">
        <f t="shared" si="24"/>
        <v>-</v>
      </c>
      <c r="V42" s="108">
        <f t="shared" si="25"/>
        <v>0</v>
      </c>
      <c r="W42" s="357"/>
      <c r="X42" s="437"/>
      <c r="Y42" s="357"/>
    </row>
    <row r="43" spans="1:25" ht="15.75" customHeight="1" outlineLevel="1">
      <c r="A43" s="421"/>
      <c r="B43" s="440" t="s">
        <v>26</v>
      </c>
      <c r="C43" s="107">
        <v>-732</v>
      </c>
      <c r="D43" s="112">
        <v>-1406</v>
      </c>
      <c r="E43" s="67">
        <f>D43/C43-1</f>
        <v>0.92076502732240439</v>
      </c>
      <c r="F43" s="108">
        <f>D43-C43</f>
        <v>-674</v>
      </c>
      <c r="G43" s="107">
        <v>-507</v>
      </c>
      <c r="H43" s="107"/>
      <c r="I43" s="67">
        <f>H43/G43-1</f>
        <v>-1</v>
      </c>
      <c r="J43" s="108">
        <f>H43-G43</f>
        <v>507</v>
      </c>
      <c r="K43" s="107">
        <v>-1356</v>
      </c>
      <c r="L43" s="107"/>
      <c r="M43" s="67">
        <f t="shared" si="22"/>
        <v>-1</v>
      </c>
      <c r="N43" s="108">
        <f t="shared" si="23"/>
        <v>1356</v>
      </c>
      <c r="O43" s="107">
        <v>-2135</v>
      </c>
      <c r="P43" s="107"/>
      <c r="Q43" s="67">
        <f>P43/O43-1</f>
        <v>-1</v>
      </c>
      <c r="R43" s="108">
        <f>P43-O43</f>
        <v>2135</v>
      </c>
      <c r="S43" s="107">
        <v>-1440</v>
      </c>
      <c r="T43" s="107">
        <v>-2867</v>
      </c>
      <c r="U43" s="67">
        <f t="shared" si="24"/>
        <v>0.99097222222222214</v>
      </c>
      <c r="V43" s="108">
        <f t="shared" si="25"/>
        <v>-1427</v>
      </c>
      <c r="W43"/>
      <c r="X43" s="437"/>
      <c r="Y43"/>
    </row>
    <row r="44" spans="1:25" ht="15.75" customHeight="1" outlineLevel="1">
      <c r="A44" s="421"/>
      <c r="B44" s="440" t="s">
        <v>445</v>
      </c>
      <c r="C44" s="107">
        <v>946</v>
      </c>
      <c r="D44" s="112">
        <v>201</v>
      </c>
      <c r="E44" s="67">
        <f>D44/C44-1</f>
        <v>-0.78752642706131082</v>
      </c>
      <c r="F44" s="108">
        <f>D44-C44</f>
        <v>-745</v>
      </c>
      <c r="G44" s="107">
        <v>210</v>
      </c>
      <c r="H44" s="107"/>
      <c r="I44" s="67">
        <f>H44/G44-1</f>
        <v>-1</v>
      </c>
      <c r="J44" s="108">
        <f>H44-G44</f>
        <v>-210</v>
      </c>
      <c r="K44" s="107">
        <v>238</v>
      </c>
      <c r="L44" s="107"/>
      <c r="M44" s="67">
        <f t="shared" si="22"/>
        <v>-1</v>
      </c>
      <c r="N44" s="108">
        <f t="shared" si="23"/>
        <v>-238</v>
      </c>
      <c r="O44" s="107">
        <v>1255</v>
      </c>
      <c r="P44" s="107"/>
      <c r="Q44" s="67">
        <f>P44/O44-1</f>
        <v>-1</v>
      </c>
      <c r="R44" s="108">
        <f>P44-O44</f>
        <v>-1255</v>
      </c>
      <c r="S44" s="107">
        <v>3379</v>
      </c>
      <c r="T44" s="107">
        <v>2201</v>
      </c>
      <c r="U44" s="67">
        <f t="shared" si="24"/>
        <v>-0.34862385321100919</v>
      </c>
      <c r="V44" s="108">
        <f t="shared" si="25"/>
        <v>-1178</v>
      </c>
      <c r="W44"/>
      <c r="X44" s="437"/>
      <c r="Y44"/>
    </row>
    <row r="45" spans="1:25" ht="15.75" customHeight="1">
      <c r="A45" s="421"/>
      <c r="B45" s="440" t="s">
        <v>446</v>
      </c>
      <c r="C45" s="107">
        <v>-442</v>
      </c>
      <c r="D45" s="112">
        <v>-440</v>
      </c>
      <c r="E45" s="67">
        <f>D45/C45-1</f>
        <v>-4.5248868778280382E-3</v>
      </c>
      <c r="F45" s="108">
        <f>D45-C45</f>
        <v>2</v>
      </c>
      <c r="G45" s="107">
        <v>-994</v>
      </c>
      <c r="H45" s="107"/>
      <c r="I45" s="67">
        <f>H45/G45-1</f>
        <v>-1</v>
      </c>
      <c r="J45" s="108">
        <f>H45-G45</f>
        <v>994</v>
      </c>
      <c r="K45" s="107">
        <v>-879</v>
      </c>
      <c r="L45" s="107"/>
      <c r="M45" s="67">
        <f t="shared" si="22"/>
        <v>-1</v>
      </c>
      <c r="N45" s="108">
        <f t="shared" si="23"/>
        <v>879</v>
      </c>
      <c r="O45" s="107">
        <v>-2228</v>
      </c>
      <c r="P45" s="107"/>
      <c r="Q45" s="67">
        <f>P45/O45-1</f>
        <v>-1</v>
      </c>
      <c r="R45" s="108">
        <f>P45-O45</f>
        <v>2228</v>
      </c>
      <c r="S45" s="107">
        <v>-1665</v>
      </c>
      <c r="T45" s="107">
        <v>-2670</v>
      </c>
      <c r="U45" s="67">
        <f t="shared" si="24"/>
        <v>0.60360360360360366</v>
      </c>
      <c r="V45" s="108">
        <f t="shared" si="25"/>
        <v>-1005</v>
      </c>
      <c r="W45"/>
      <c r="X45" s="437"/>
      <c r="Y45"/>
    </row>
    <row r="46" spans="1:25" ht="15.75" customHeight="1" outlineLevel="1">
      <c r="A46" s="421"/>
      <c r="B46" s="422" t="s">
        <v>447</v>
      </c>
      <c r="C46" s="107">
        <v>0</v>
      </c>
      <c r="D46" s="107">
        <v>0</v>
      </c>
      <c r="E46" s="67"/>
      <c r="F46" s="108"/>
      <c r="G46" s="107">
        <v>0</v>
      </c>
      <c r="H46" s="107"/>
      <c r="I46" s="67"/>
      <c r="J46" s="108"/>
      <c r="K46" s="107">
        <v>0</v>
      </c>
      <c r="L46" s="107"/>
      <c r="M46" s="67" t="str">
        <f t="shared" si="22"/>
        <v>-</v>
      </c>
      <c r="N46" s="108">
        <f t="shared" si="23"/>
        <v>0</v>
      </c>
      <c r="O46" s="107">
        <v>0</v>
      </c>
      <c r="P46" s="107"/>
      <c r="Q46" s="67"/>
      <c r="R46" s="108"/>
      <c r="S46" s="107">
        <v>0</v>
      </c>
      <c r="T46" s="107">
        <v>0</v>
      </c>
      <c r="U46" s="67" t="str">
        <f t="shared" si="24"/>
        <v>-</v>
      </c>
      <c r="V46" s="108">
        <f t="shared" si="25"/>
        <v>0</v>
      </c>
      <c r="W46"/>
      <c r="X46" s="437"/>
      <c r="Y46"/>
    </row>
    <row r="47" spans="1:25" ht="15.75" customHeight="1" outlineLevel="1">
      <c r="A47" s="427" t="s">
        <v>448</v>
      </c>
      <c r="B47" s="428"/>
      <c r="C47" s="21">
        <f t="shared" ref="C47" si="26">SUM(C38:C46)</f>
        <v>-1231</v>
      </c>
      <c r="D47" s="21">
        <f>SUM(D38:D46)</f>
        <v>-976</v>
      </c>
      <c r="E47" s="82">
        <f>D47/C47-1</f>
        <v>-0.20714865962632012</v>
      </c>
      <c r="F47" s="109">
        <f>D47-C47</f>
        <v>255</v>
      </c>
      <c r="G47" s="21">
        <v>-1307</v>
      </c>
      <c r="H47" s="21"/>
      <c r="I47" s="82">
        <f>H47/G47-1</f>
        <v>-1</v>
      </c>
      <c r="J47" s="109">
        <f>H47-G47</f>
        <v>1307</v>
      </c>
      <c r="K47" s="21">
        <v>1271</v>
      </c>
      <c r="L47" s="21"/>
      <c r="M47" s="82">
        <f t="shared" si="22"/>
        <v>-1</v>
      </c>
      <c r="N47" s="109">
        <f t="shared" si="23"/>
        <v>-1271</v>
      </c>
      <c r="O47" s="21">
        <v>1098</v>
      </c>
      <c r="P47" s="21"/>
      <c r="Q47" s="82">
        <f>P47/O47-1</f>
        <v>-1</v>
      </c>
      <c r="R47" s="109">
        <f>P47-O47</f>
        <v>-1098</v>
      </c>
      <c r="S47" s="21">
        <f>SUM(S38:S46)</f>
        <v>378</v>
      </c>
      <c r="T47" s="21">
        <f>SUM(T38:T46)</f>
        <v>-133</v>
      </c>
      <c r="U47" s="82">
        <f t="shared" si="24"/>
        <v>-1.3518518518518519</v>
      </c>
      <c r="V47" s="109">
        <f t="shared" si="25"/>
        <v>-511</v>
      </c>
      <c r="W47"/>
      <c r="X47" s="437"/>
      <c r="Y47"/>
    </row>
    <row r="48" spans="1:25" ht="15.75" customHeight="1" outlineLevel="1">
      <c r="A48" s="421" t="s">
        <v>27</v>
      </c>
      <c r="B48" s="422"/>
      <c r="C48" s="23"/>
      <c r="D48" s="28"/>
      <c r="E48" s="67"/>
      <c r="F48" s="68"/>
      <c r="G48" s="34"/>
      <c r="H48" s="107"/>
      <c r="I48" s="67"/>
      <c r="J48" s="68"/>
      <c r="K48" s="28"/>
      <c r="L48" s="28"/>
      <c r="M48" s="67"/>
      <c r="N48" s="68"/>
      <c r="O48" s="28"/>
      <c r="P48" s="28"/>
      <c r="Q48" s="67"/>
      <c r="R48" s="68"/>
      <c r="S48" s="107"/>
      <c r="T48" s="107"/>
      <c r="U48" s="67"/>
      <c r="V48" s="68"/>
      <c r="W48"/>
      <c r="X48" s="437"/>
      <c r="Y48"/>
    </row>
    <row r="49" spans="1:25" s="114" customFormat="1" ht="15.75" customHeight="1" outlineLevel="1">
      <c r="A49" s="439"/>
      <c r="B49" s="440" t="s">
        <v>449</v>
      </c>
      <c r="C49" s="107">
        <v>0</v>
      </c>
      <c r="D49" s="28">
        <v>-1389</v>
      </c>
      <c r="E49" s="67"/>
      <c r="F49" s="108">
        <f>D49-C49</f>
        <v>-1389</v>
      </c>
      <c r="G49" s="107">
        <v>0</v>
      </c>
      <c r="H49" s="107"/>
      <c r="I49" s="67"/>
      <c r="J49" s="108">
        <f>H49-G49</f>
        <v>0</v>
      </c>
      <c r="K49" s="107">
        <v>-5371</v>
      </c>
      <c r="L49" s="107"/>
      <c r="M49" s="67">
        <f t="shared" ref="M49:M60" si="27">IFERROR(L49/K49-1,"-")</f>
        <v>-1</v>
      </c>
      <c r="N49" s="108">
        <f t="shared" ref="N49:N60" si="28">L49-K49</f>
        <v>5371</v>
      </c>
      <c r="O49" s="107">
        <v>-12968</v>
      </c>
      <c r="P49" s="107"/>
      <c r="Q49" s="67">
        <f t="shared" ref="Q49:Q58" si="29">P49/O49-1</f>
        <v>-1</v>
      </c>
      <c r="R49" s="108">
        <f>P49-O49</f>
        <v>12968</v>
      </c>
      <c r="S49" s="107"/>
      <c r="T49" s="107">
        <v>-12968</v>
      </c>
      <c r="U49" s="67" t="str">
        <f t="shared" ref="U49:U60" si="30">IFERROR(T49/S49-1,"-")</f>
        <v>-</v>
      </c>
      <c r="V49" s="108">
        <f t="shared" ref="V49:V60" si="31">T49-S49</f>
        <v>-12968</v>
      </c>
      <c r="W49" s="113"/>
      <c r="X49" s="437"/>
      <c r="Y49" s="113"/>
    </row>
    <row r="50" spans="1:25" ht="15.75" customHeight="1" outlineLevel="1">
      <c r="A50" s="421"/>
      <c r="B50" s="422" t="s">
        <v>444</v>
      </c>
      <c r="C50" s="107">
        <v>0</v>
      </c>
      <c r="D50" s="28">
        <v>-636</v>
      </c>
      <c r="E50" s="67"/>
      <c r="F50" s="108">
        <f>D50-C50</f>
        <v>-636</v>
      </c>
      <c r="G50" s="107">
        <v>0</v>
      </c>
      <c r="H50" s="107"/>
      <c r="I50" s="67"/>
      <c r="J50" s="108">
        <f>H50-G50</f>
        <v>0</v>
      </c>
      <c r="K50" s="107">
        <v>-3286</v>
      </c>
      <c r="L50" s="107"/>
      <c r="M50" s="67">
        <f t="shared" si="27"/>
        <v>-1</v>
      </c>
      <c r="N50" s="108">
        <f t="shared" si="28"/>
        <v>3286</v>
      </c>
      <c r="O50" s="107">
        <v>-3343</v>
      </c>
      <c r="P50" s="107"/>
      <c r="Q50" s="67">
        <f t="shared" si="29"/>
        <v>-1</v>
      </c>
      <c r="R50" s="108">
        <f t="shared" ref="R50:R58" si="32">P50-O50</f>
        <v>3343</v>
      </c>
      <c r="S50" s="107">
        <v>0</v>
      </c>
      <c r="T50" s="107">
        <v>-3343</v>
      </c>
      <c r="U50" s="67" t="str">
        <f t="shared" si="30"/>
        <v>-</v>
      </c>
      <c r="V50" s="108">
        <f t="shared" si="31"/>
        <v>-3343</v>
      </c>
      <c r="W50"/>
      <c r="X50" s="437"/>
      <c r="Y50"/>
    </row>
    <row r="51" spans="1:25" ht="15.75" customHeight="1" outlineLevel="1">
      <c r="A51" s="421"/>
      <c r="B51" s="422" t="s">
        <v>450</v>
      </c>
      <c r="C51" s="107">
        <v>0</v>
      </c>
      <c r="D51" s="28">
        <v>0</v>
      </c>
      <c r="E51" s="67"/>
      <c r="F51" s="108"/>
      <c r="G51" s="107">
        <v>0</v>
      </c>
      <c r="H51" s="107"/>
      <c r="I51" s="67"/>
      <c r="J51" s="108"/>
      <c r="K51" s="107">
        <v>0</v>
      </c>
      <c r="L51" s="107"/>
      <c r="M51" s="67" t="str">
        <f t="shared" si="27"/>
        <v>-</v>
      </c>
      <c r="N51" s="108">
        <f t="shared" si="28"/>
        <v>0</v>
      </c>
      <c r="O51" s="107">
        <v>0</v>
      </c>
      <c r="P51" s="107"/>
      <c r="Q51" s="67" t="e">
        <f t="shared" si="29"/>
        <v>#DIV/0!</v>
      </c>
      <c r="R51" s="108">
        <f t="shared" si="32"/>
        <v>0</v>
      </c>
      <c r="S51" s="107"/>
      <c r="T51" s="107"/>
      <c r="U51" s="67" t="str">
        <f t="shared" si="30"/>
        <v>-</v>
      </c>
      <c r="V51" s="108">
        <f t="shared" si="31"/>
        <v>0</v>
      </c>
      <c r="W51"/>
      <c r="X51" s="437"/>
      <c r="Y51"/>
    </row>
    <row r="52" spans="1:25" ht="15.75" customHeight="1" outlineLevel="1">
      <c r="A52" s="421"/>
      <c r="B52" s="422" t="s">
        <v>28</v>
      </c>
      <c r="C52" s="107">
        <v>0</v>
      </c>
      <c r="D52" s="28">
        <v>-5999</v>
      </c>
      <c r="E52" s="67"/>
      <c r="F52" s="108">
        <f>D52-C52</f>
        <v>-5999</v>
      </c>
      <c r="G52" s="107">
        <v>0</v>
      </c>
      <c r="H52" s="107"/>
      <c r="I52" s="67"/>
      <c r="J52" s="108">
        <f>H52-G52</f>
        <v>0</v>
      </c>
      <c r="K52" s="107">
        <v>0</v>
      </c>
      <c r="L52" s="107"/>
      <c r="M52" s="67" t="str">
        <f t="shared" si="27"/>
        <v>-</v>
      </c>
      <c r="N52" s="108">
        <f t="shared" si="28"/>
        <v>0</v>
      </c>
      <c r="O52" s="107">
        <v>0</v>
      </c>
      <c r="P52" s="107"/>
      <c r="Q52" s="67" t="e">
        <f t="shared" si="29"/>
        <v>#DIV/0!</v>
      </c>
      <c r="R52" s="108">
        <f t="shared" si="32"/>
        <v>0</v>
      </c>
      <c r="S52" s="107"/>
      <c r="T52" s="107"/>
      <c r="U52" s="67" t="str">
        <f t="shared" si="30"/>
        <v>-</v>
      </c>
      <c r="V52" s="108">
        <f t="shared" si="31"/>
        <v>0</v>
      </c>
      <c r="W52"/>
      <c r="X52" s="437"/>
      <c r="Y52"/>
    </row>
    <row r="53" spans="1:25" ht="15.75" customHeight="1" outlineLevel="1">
      <c r="A53" s="421"/>
      <c r="B53" s="422" t="s">
        <v>464</v>
      </c>
      <c r="C53" s="107">
        <v>-97</v>
      </c>
      <c r="D53" s="28">
        <v>-66</v>
      </c>
      <c r="E53" s="67"/>
      <c r="F53" s="108"/>
      <c r="G53" s="107">
        <v>106</v>
      </c>
      <c r="H53" s="107"/>
      <c r="I53" s="67"/>
      <c r="J53" s="108"/>
      <c r="K53" s="107">
        <v>-1296</v>
      </c>
      <c r="L53" s="107"/>
      <c r="M53" s="67">
        <f t="shared" si="27"/>
        <v>-1</v>
      </c>
      <c r="N53" s="108">
        <f t="shared" si="28"/>
        <v>1296</v>
      </c>
      <c r="O53" s="107">
        <v>4059</v>
      </c>
      <c r="P53" s="107"/>
      <c r="Q53" s="67">
        <f t="shared" si="29"/>
        <v>-1</v>
      </c>
      <c r="R53" s="108">
        <f t="shared" si="32"/>
        <v>-4059</v>
      </c>
      <c r="S53" s="107">
        <v>-4212</v>
      </c>
      <c r="T53" s="107">
        <v>3962</v>
      </c>
      <c r="U53" s="67">
        <f t="shared" si="30"/>
        <v>-1.9406457739791074</v>
      </c>
      <c r="V53" s="108">
        <f t="shared" si="31"/>
        <v>8174</v>
      </c>
      <c r="W53" s="357"/>
      <c r="X53" s="437"/>
      <c r="Y53" s="357"/>
    </row>
    <row r="54" spans="1:25" ht="15.75" customHeight="1" outlineLevel="1">
      <c r="A54" s="421"/>
      <c r="B54" s="422" t="s">
        <v>422</v>
      </c>
      <c r="C54" s="107">
        <v>0</v>
      </c>
      <c r="D54" s="28">
        <v>0</v>
      </c>
      <c r="E54" s="67" t="e">
        <f>D54/C54-1</f>
        <v>#DIV/0!</v>
      </c>
      <c r="F54" s="108">
        <f>D54-C54</f>
        <v>0</v>
      </c>
      <c r="G54" s="107">
        <v>0</v>
      </c>
      <c r="H54" s="107"/>
      <c r="I54" s="67" t="e">
        <f>H54/G54-1</f>
        <v>#DIV/0!</v>
      </c>
      <c r="J54" s="108">
        <f>H54-G54</f>
        <v>0</v>
      </c>
      <c r="K54" s="107">
        <v>0</v>
      </c>
      <c r="L54" s="107"/>
      <c r="M54" s="67" t="str">
        <f t="shared" si="27"/>
        <v>-</v>
      </c>
      <c r="N54" s="108">
        <f t="shared" si="28"/>
        <v>0</v>
      </c>
      <c r="O54" s="107">
        <v>0</v>
      </c>
      <c r="P54" s="107"/>
      <c r="Q54" s="67" t="e">
        <f>P54/O54-1</f>
        <v>#DIV/0!</v>
      </c>
      <c r="R54" s="108">
        <f t="shared" si="32"/>
        <v>0</v>
      </c>
      <c r="S54" s="107">
        <v>209594</v>
      </c>
      <c r="T54" s="107">
        <v>0</v>
      </c>
      <c r="U54" s="67">
        <f t="shared" si="30"/>
        <v>-1</v>
      </c>
      <c r="V54" s="108">
        <f t="shared" si="31"/>
        <v>-209594</v>
      </c>
      <c r="W54"/>
      <c r="X54" s="437"/>
      <c r="Y54"/>
    </row>
    <row r="55" spans="1:25" ht="15.75" customHeight="1">
      <c r="A55" s="421"/>
      <c r="B55" s="422" t="s">
        <v>451</v>
      </c>
      <c r="C55" s="107">
        <v>-559</v>
      </c>
      <c r="D55" s="107">
        <v>-2238</v>
      </c>
      <c r="E55" s="67">
        <f>D55/C55-1</f>
        <v>3.0035778175313057</v>
      </c>
      <c r="F55" s="108">
        <f>D55-C55</f>
        <v>-1679</v>
      </c>
      <c r="G55" s="107">
        <v>-1056</v>
      </c>
      <c r="H55" s="107"/>
      <c r="I55" s="67">
        <f>H55/G55-1</f>
        <v>-1</v>
      </c>
      <c r="J55" s="108">
        <f>H55-G55</f>
        <v>1056</v>
      </c>
      <c r="K55" s="107">
        <v>-559</v>
      </c>
      <c r="L55" s="107"/>
      <c r="M55" s="67">
        <f t="shared" si="27"/>
        <v>-1</v>
      </c>
      <c r="N55" s="108">
        <f t="shared" si="28"/>
        <v>559</v>
      </c>
      <c r="O55" s="107">
        <v>-2623</v>
      </c>
      <c r="P55" s="107"/>
      <c r="Q55" s="67">
        <f t="shared" si="29"/>
        <v>-1</v>
      </c>
      <c r="R55" s="108">
        <f t="shared" si="32"/>
        <v>2623</v>
      </c>
      <c r="S55" s="107">
        <v>-202333</v>
      </c>
      <c r="T55" s="107">
        <v>-3182</v>
      </c>
      <c r="U55" s="67">
        <f t="shared" si="30"/>
        <v>-0.98427345020337764</v>
      </c>
      <c r="V55" s="108">
        <f t="shared" si="31"/>
        <v>199151</v>
      </c>
      <c r="W55"/>
      <c r="X55" s="437"/>
      <c r="Y55"/>
    </row>
    <row r="56" spans="1:25" ht="15.75" customHeight="1">
      <c r="A56" s="421"/>
      <c r="B56" s="422" t="s">
        <v>465</v>
      </c>
      <c r="C56" s="28">
        <v>0</v>
      </c>
      <c r="D56" s="107">
        <v>0</v>
      </c>
      <c r="E56" s="67"/>
      <c r="F56" s="108">
        <f>D56-C56</f>
        <v>0</v>
      </c>
      <c r="G56" s="107">
        <v>0</v>
      </c>
      <c r="H56" s="107"/>
      <c r="I56" s="67"/>
      <c r="J56" s="108"/>
      <c r="K56" s="107">
        <v>0</v>
      </c>
      <c r="L56" s="107"/>
      <c r="M56" s="67" t="str">
        <f t="shared" si="27"/>
        <v>-</v>
      </c>
      <c r="N56" s="108">
        <f t="shared" si="28"/>
        <v>0</v>
      </c>
      <c r="O56" s="107">
        <v>0</v>
      </c>
      <c r="P56" s="107"/>
      <c r="Q56" s="67" t="e">
        <f t="shared" si="29"/>
        <v>#DIV/0!</v>
      </c>
      <c r="R56" s="108">
        <f t="shared" si="32"/>
        <v>0</v>
      </c>
      <c r="S56" s="107"/>
      <c r="T56" s="107">
        <v>0</v>
      </c>
      <c r="U56" s="67" t="str">
        <f t="shared" si="30"/>
        <v>-</v>
      </c>
      <c r="V56" s="108">
        <f t="shared" si="31"/>
        <v>0</v>
      </c>
      <c r="W56" s="357"/>
      <c r="X56" s="437"/>
      <c r="Y56" s="357"/>
    </row>
    <row r="57" spans="1:25" ht="15.75" customHeight="1">
      <c r="A57" s="421"/>
      <c r="B57" s="422" t="s">
        <v>466</v>
      </c>
      <c r="C57" s="28">
        <v>-787</v>
      </c>
      <c r="D57" s="107">
        <v>-547</v>
      </c>
      <c r="E57" s="67"/>
      <c r="F57" s="108"/>
      <c r="G57" s="107">
        <v>-658</v>
      </c>
      <c r="H57" s="107"/>
      <c r="I57" s="67"/>
      <c r="J57" s="108"/>
      <c r="K57" s="107">
        <v>-428</v>
      </c>
      <c r="L57" s="107"/>
      <c r="M57" s="67">
        <f t="shared" si="27"/>
        <v>-1</v>
      </c>
      <c r="N57" s="108">
        <f t="shared" si="28"/>
        <v>428</v>
      </c>
      <c r="O57" s="107">
        <v>-1631</v>
      </c>
      <c r="P57" s="107"/>
      <c r="Q57" s="67">
        <f t="shared" si="29"/>
        <v>-1</v>
      </c>
      <c r="R57" s="108">
        <f t="shared" si="32"/>
        <v>1631</v>
      </c>
      <c r="S57" s="107">
        <v>-5226</v>
      </c>
      <c r="T57" s="107">
        <v>-2418</v>
      </c>
      <c r="U57" s="67">
        <f t="shared" si="30"/>
        <v>-0.53731343283582089</v>
      </c>
      <c r="V57" s="108">
        <f t="shared" si="31"/>
        <v>2808</v>
      </c>
      <c r="W57" s="357"/>
      <c r="X57" s="437"/>
      <c r="Y57" s="357"/>
    </row>
    <row r="58" spans="1:25" ht="15.75" customHeight="1">
      <c r="A58" s="421"/>
      <c r="B58" s="422" t="s">
        <v>452</v>
      </c>
      <c r="C58" s="107">
        <v>0</v>
      </c>
      <c r="D58" s="107"/>
      <c r="E58" s="67"/>
      <c r="F58" s="68"/>
      <c r="G58" s="107">
        <v>0</v>
      </c>
      <c r="H58" s="107"/>
      <c r="I58" s="67"/>
      <c r="J58" s="68"/>
      <c r="K58" s="107">
        <v>0</v>
      </c>
      <c r="L58" s="107"/>
      <c r="M58" s="67" t="str">
        <f t="shared" si="27"/>
        <v>-</v>
      </c>
      <c r="N58" s="68">
        <f t="shared" si="28"/>
        <v>0</v>
      </c>
      <c r="O58" s="107">
        <v>0</v>
      </c>
      <c r="P58" s="107"/>
      <c r="Q58" s="67" t="e">
        <f t="shared" si="29"/>
        <v>#DIV/0!</v>
      </c>
      <c r="R58" s="108">
        <f t="shared" si="32"/>
        <v>0</v>
      </c>
      <c r="S58" s="107">
        <v>-4</v>
      </c>
      <c r="T58" s="107"/>
      <c r="U58" s="67">
        <f t="shared" si="30"/>
        <v>-1</v>
      </c>
      <c r="V58" s="68">
        <f t="shared" si="31"/>
        <v>4</v>
      </c>
      <c r="W58"/>
      <c r="X58" s="437"/>
      <c r="Y58"/>
    </row>
    <row r="59" spans="1:25" ht="15.75" customHeight="1">
      <c r="A59" s="427" t="s">
        <v>453</v>
      </c>
      <c r="B59" s="428"/>
      <c r="C59" s="21">
        <v>-1443</v>
      </c>
      <c r="D59" s="21">
        <f>SUM(D49:D58)</f>
        <v>-10875</v>
      </c>
      <c r="E59" s="82">
        <f>D59/C59-1</f>
        <v>6.5363825363825363</v>
      </c>
      <c r="F59" s="83">
        <f>D59-C59</f>
        <v>-9432</v>
      </c>
      <c r="G59" s="21">
        <v>-1608</v>
      </c>
      <c r="H59" s="21"/>
      <c r="I59" s="82">
        <f>H59/G59-1</f>
        <v>-1</v>
      </c>
      <c r="J59" s="83">
        <f>H59-G59</f>
        <v>1608</v>
      </c>
      <c r="K59" s="21">
        <v>-10940</v>
      </c>
      <c r="L59" s="21"/>
      <c r="M59" s="82">
        <f t="shared" si="27"/>
        <v>-1</v>
      </c>
      <c r="N59" s="83">
        <f t="shared" si="28"/>
        <v>10940</v>
      </c>
      <c r="O59" s="21">
        <v>-16506</v>
      </c>
      <c r="P59" s="21"/>
      <c r="Q59" s="82">
        <f>P59/O59-1</f>
        <v>-1</v>
      </c>
      <c r="R59" s="83">
        <f>P59-O59</f>
        <v>16506</v>
      </c>
      <c r="S59" s="21">
        <f>SUM(S49:S58)</f>
        <v>-2181</v>
      </c>
      <c r="T59" s="21">
        <f>SUM(T49:T58)</f>
        <v>-17949</v>
      </c>
      <c r="U59" s="82">
        <f t="shared" si="30"/>
        <v>7.2297111416781288</v>
      </c>
      <c r="V59" s="83">
        <f t="shared" si="31"/>
        <v>-15768</v>
      </c>
      <c r="W59"/>
      <c r="X59" s="437"/>
      <c r="Y59"/>
    </row>
    <row r="60" spans="1:25" ht="15.75" customHeight="1" thickBot="1">
      <c r="A60" s="429"/>
      <c r="B60" s="430" t="s">
        <v>29</v>
      </c>
      <c r="C60" s="24">
        <v>29202</v>
      </c>
      <c r="D60" s="24">
        <f>D59+D47+D36</f>
        <v>-9554</v>
      </c>
      <c r="E60" s="84">
        <f>D60/C60-1</f>
        <v>-1.3271693719608246</v>
      </c>
      <c r="F60" s="85">
        <f>D60-C60</f>
        <v>-38756</v>
      </c>
      <c r="G60" s="24">
        <v>5744</v>
      </c>
      <c r="H60" s="24"/>
      <c r="I60" s="84">
        <f>H60/G60-1</f>
        <v>-1</v>
      </c>
      <c r="J60" s="85">
        <f>H60-G60</f>
        <v>-5744</v>
      </c>
      <c r="K60" s="24">
        <v>163</v>
      </c>
      <c r="L60" s="24"/>
      <c r="M60" s="84">
        <f t="shared" si="27"/>
        <v>-1</v>
      </c>
      <c r="N60" s="85">
        <f t="shared" si="28"/>
        <v>-163</v>
      </c>
      <c r="O60" s="24">
        <v>-4827</v>
      </c>
      <c r="P60" s="24"/>
      <c r="Q60" s="84">
        <f>P60/O60-1</f>
        <v>-1</v>
      </c>
      <c r="R60" s="85">
        <f>P60-O60</f>
        <v>4827</v>
      </c>
      <c r="S60" s="24">
        <f>S59+S47+S36</f>
        <v>11149</v>
      </c>
      <c r="T60" s="24">
        <f>T59+T47+T36</f>
        <v>24375</v>
      </c>
      <c r="U60" s="84">
        <f t="shared" si="30"/>
        <v>1.1862947349538073</v>
      </c>
      <c r="V60" s="85">
        <f t="shared" si="31"/>
        <v>13226</v>
      </c>
      <c r="W60"/>
      <c r="X60" s="437"/>
      <c r="Y60"/>
    </row>
    <row r="61" spans="1:25" ht="15.75" customHeight="1">
      <c r="A61" s="421"/>
      <c r="B61" s="422"/>
      <c r="C61" s="20"/>
      <c r="D61" s="28"/>
      <c r="E61" s="67"/>
      <c r="F61" s="68"/>
      <c r="G61" s="29"/>
      <c r="H61" s="20"/>
      <c r="I61" s="67"/>
      <c r="J61" s="68"/>
      <c r="K61" s="28"/>
      <c r="L61" s="28"/>
      <c r="M61" s="67"/>
      <c r="N61" s="68"/>
      <c r="O61" s="28"/>
      <c r="P61" s="28"/>
      <c r="Q61" s="67"/>
      <c r="R61" s="68"/>
      <c r="S61" s="29"/>
      <c r="T61" s="29"/>
      <c r="U61" s="67"/>
      <c r="V61" s="68"/>
      <c r="W61"/>
      <c r="X61" s="437"/>
      <c r="Y61"/>
    </row>
    <row r="62" spans="1:25" ht="15.75" customHeight="1">
      <c r="A62" s="421"/>
      <c r="B62" s="39" t="s">
        <v>454</v>
      </c>
      <c r="C62" s="33">
        <v>65258</v>
      </c>
      <c r="D62" s="396">
        <v>89633</v>
      </c>
      <c r="E62" s="86">
        <f>D62/C62-1</f>
        <v>0.37351742315118464</v>
      </c>
      <c r="F62" s="108">
        <f>D62-C62</f>
        <v>24375</v>
      </c>
      <c r="G62" s="107">
        <v>94460</v>
      </c>
      <c r="H62" s="396"/>
      <c r="I62" s="86">
        <f>H62/G62-1</f>
        <v>-1</v>
      </c>
      <c r="J62" s="108">
        <f>H62-G62</f>
        <v>-94460</v>
      </c>
      <c r="K62" s="33">
        <v>100204</v>
      </c>
      <c r="L62" s="396"/>
      <c r="M62" s="86">
        <f>IFERROR(L62/K62-1,"-")</f>
        <v>-1</v>
      </c>
      <c r="N62" s="108">
        <f>L62-K62</f>
        <v>-100204</v>
      </c>
      <c r="O62" s="33">
        <v>0</v>
      </c>
      <c r="P62" s="396"/>
      <c r="Q62" s="86" t="e">
        <f>P62/O62-1</f>
        <v>#DIV/0!</v>
      </c>
      <c r="R62" s="108">
        <f>P62-O62</f>
        <v>0</v>
      </c>
      <c r="S62" s="107">
        <f>C62</f>
        <v>65258</v>
      </c>
      <c r="T62" s="107">
        <f>D62</f>
        <v>89633</v>
      </c>
      <c r="U62" s="86">
        <f>IFERROR(T62/S62-1,"-")</f>
        <v>0.37351742315118464</v>
      </c>
      <c r="V62" s="108">
        <f>T62-S62</f>
        <v>24375</v>
      </c>
      <c r="W62"/>
      <c r="X62" s="437"/>
      <c r="Y62"/>
    </row>
    <row r="63" spans="1:25" ht="15.75" customHeight="1">
      <c r="A63" s="421"/>
      <c r="B63" s="422"/>
      <c r="C63" s="20"/>
      <c r="D63" s="28"/>
      <c r="E63" s="67"/>
      <c r="F63" s="68"/>
      <c r="G63" s="28"/>
      <c r="H63" s="20"/>
      <c r="I63" s="67"/>
      <c r="J63" s="68"/>
      <c r="K63" s="28"/>
      <c r="L63" s="28"/>
      <c r="M63" s="67"/>
      <c r="N63" s="68"/>
      <c r="O63" s="28"/>
      <c r="P63" s="28"/>
      <c r="Q63" s="67"/>
      <c r="R63" s="68"/>
      <c r="S63" s="28"/>
      <c r="T63" s="28"/>
      <c r="U63" s="67"/>
      <c r="V63" s="68"/>
      <c r="X63" s="437"/>
    </row>
    <row r="64" spans="1:25" ht="15.75" customHeight="1" thickBot="1">
      <c r="A64" s="425"/>
      <c r="B64" s="426" t="s">
        <v>455</v>
      </c>
      <c r="C64" s="25">
        <v>94460</v>
      </c>
      <c r="D64" s="25">
        <f>SUM(D60:D63)</f>
        <v>80079</v>
      </c>
      <c r="E64" s="87">
        <f>D64/C64-1</f>
        <v>-0.15224433622697442</v>
      </c>
      <c r="F64" s="110">
        <f>D64-C64</f>
        <v>-14381</v>
      </c>
      <c r="G64" s="25">
        <v>100204</v>
      </c>
      <c r="H64" s="25"/>
      <c r="I64" s="87">
        <f>H64/G64-1</f>
        <v>-1</v>
      </c>
      <c r="J64" s="110">
        <f>H64-G64</f>
        <v>-100204</v>
      </c>
      <c r="K64" s="25">
        <v>100367</v>
      </c>
      <c r="L64" s="25"/>
      <c r="M64" s="87">
        <f>IFERROR(L64/K64-1,"-")</f>
        <v>-1</v>
      </c>
      <c r="N64" s="110">
        <f>L64-K64</f>
        <v>-100367</v>
      </c>
      <c r="O64" s="25">
        <v>-4827</v>
      </c>
      <c r="P64" s="25"/>
      <c r="Q64" s="87">
        <f>P64/O64-1</f>
        <v>-1</v>
      </c>
      <c r="R64" s="110">
        <f>P64-O64</f>
        <v>4827</v>
      </c>
      <c r="S64" s="25">
        <f>SUM(S60:S63)</f>
        <v>76407</v>
      </c>
      <c r="T64" s="25">
        <f>SUM(T60:T63)</f>
        <v>114008</v>
      </c>
      <c r="U64" s="87">
        <f>IFERROR(T64/S64-1,"-")</f>
        <v>0.49211459683013326</v>
      </c>
      <c r="V64" s="110">
        <f>T64-S64</f>
        <v>37601</v>
      </c>
      <c r="X64" s="437"/>
    </row>
    <row r="65" spans="1:22" ht="15.75" customHeight="1">
      <c r="C65" s="101"/>
      <c r="D65" s="101"/>
      <c r="K65" s="100"/>
      <c r="L65" s="393"/>
      <c r="O65" s="100"/>
      <c r="P65" s="101"/>
      <c r="S65" s="47"/>
    </row>
    <row r="66" spans="1:22" ht="15.75" hidden="1" customHeight="1">
      <c r="L66" s="392"/>
      <c r="O66" s="55">
        <v>-94460</v>
      </c>
      <c r="P66" s="392"/>
    </row>
    <row r="67" spans="1:22" s="43" customFormat="1" ht="12" hidden="1">
      <c r="A67" s="44" t="s">
        <v>56</v>
      </c>
      <c r="B67" s="44"/>
      <c r="C67" s="44"/>
      <c r="D67" s="44"/>
      <c r="E67" s="346"/>
      <c r="F67" s="346"/>
      <c r="G67" s="44"/>
      <c r="H67" s="44"/>
      <c r="I67" s="354" t="str">
        <f>G2</f>
        <v>2T21</v>
      </c>
      <c r="J67" s="355">
        <f>H2</f>
        <v>0</v>
      </c>
      <c r="K67" s="44"/>
      <c r="L67" s="44"/>
      <c r="M67" s="354" t="str">
        <f>K2</f>
        <v>3T21</v>
      </c>
      <c r="N67" s="355">
        <f>L2</f>
        <v>0</v>
      </c>
      <c r="O67" s="44"/>
      <c r="P67" s="44"/>
      <c r="Q67" s="354" t="str">
        <f>O2</f>
        <v>4T21</v>
      </c>
      <c r="R67" s="355">
        <f>P2</f>
        <v>0</v>
      </c>
      <c r="S67" s="44"/>
      <c r="T67" s="44"/>
      <c r="U67" s="354">
        <f>S2</f>
        <v>2020</v>
      </c>
      <c r="V67" s="355">
        <f>T2</f>
        <v>2021</v>
      </c>
    </row>
    <row r="68" spans="1:22" s="43" customFormat="1" ht="12" hidden="1">
      <c r="A68" s="44" t="s">
        <v>57</v>
      </c>
      <c r="B68" s="44"/>
      <c r="C68" s="46">
        <v>-4670</v>
      </c>
      <c r="D68" s="46">
        <f>D4</f>
        <v>-5697</v>
      </c>
      <c r="E68" s="347">
        <f>C68/1000</f>
        <v>-4.67</v>
      </c>
      <c r="F68" s="347">
        <f>D68/1000</f>
        <v>-5.6970000000000001</v>
      </c>
      <c r="G68" s="46">
        <v>12697</v>
      </c>
      <c r="H68" s="46"/>
      <c r="I68" s="350">
        <f>G68/10^3</f>
        <v>12.696999999999999</v>
      </c>
      <c r="J68" s="351">
        <f>H68/10^3</f>
        <v>0</v>
      </c>
      <c r="K68" s="46">
        <v>-13035</v>
      </c>
      <c r="L68" s="46"/>
      <c r="M68" s="350">
        <f>K68/10^3</f>
        <v>-13.035</v>
      </c>
      <c r="N68" s="351">
        <f>L68/10^3</f>
        <v>0</v>
      </c>
      <c r="O68" s="46" t="e">
        <v>#REF!</v>
      </c>
      <c r="P68" s="46"/>
      <c r="Q68" s="350" t="e">
        <f>O68/10^3</f>
        <v>#REF!</v>
      </c>
      <c r="R68" s="351">
        <f>P68/10^3</f>
        <v>0</v>
      </c>
      <c r="S68" s="46">
        <v>1855</v>
      </c>
      <c r="T68" s="46">
        <f>T4</f>
        <v>35618</v>
      </c>
      <c r="U68" s="350">
        <f>S68/10^3</f>
        <v>1.855</v>
      </c>
      <c r="V68" s="351">
        <f>T68/10^3</f>
        <v>35.618000000000002</v>
      </c>
    </row>
    <row r="69" spans="1:22" s="43" customFormat="1" ht="12" hidden="1">
      <c r="A69" s="44" t="s">
        <v>58</v>
      </c>
      <c r="B69" s="44"/>
      <c r="C69" s="46">
        <v>7795</v>
      </c>
      <c r="D69" s="46">
        <f>SUM(D6:D22)</f>
        <v>20270</v>
      </c>
      <c r="E69" s="347">
        <f t="shared" ref="E69:E75" si="33">C69/1000</f>
        <v>7.7949999999999999</v>
      </c>
      <c r="F69" s="347">
        <f t="shared" ref="F69:F75" si="34">D69/1000</f>
        <v>20.27</v>
      </c>
      <c r="G69" s="46">
        <v>7811</v>
      </c>
      <c r="H69" s="46"/>
      <c r="I69" s="350">
        <f t="shared" ref="I69:I75" si="35">G69/10^3</f>
        <v>7.8109999999999999</v>
      </c>
      <c r="J69" s="351">
        <f t="shared" ref="J69:J75" si="36">H69/10^3</f>
        <v>0</v>
      </c>
      <c r="K69" s="46">
        <v>-38398</v>
      </c>
      <c r="L69" s="46"/>
      <c r="M69" s="350">
        <f t="shared" ref="M69:M75" si="37">K69/10^3</f>
        <v>-38.398000000000003</v>
      </c>
      <c r="N69" s="351">
        <f t="shared" ref="N69:N75" si="38">L69/10^3</f>
        <v>0</v>
      </c>
      <c r="O69" s="46" t="e">
        <v>#REF!</v>
      </c>
      <c r="P69" s="46"/>
      <c r="Q69" s="350" t="e">
        <f t="shared" ref="Q69:Q75" si="39">O69/10^3</f>
        <v>#REF!</v>
      </c>
      <c r="R69" s="351">
        <f t="shared" ref="R69:R75" si="40">P69/10^3</f>
        <v>0</v>
      </c>
      <c r="S69" s="46">
        <v>-212</v>
      </c>
      <c r="T69" s="46">
        <f>SUM(T6:T22)</f>
        <v>38208</v>
      </c>
      <c r="U69" s="350">
        <f t="shared" ref="U69:U75" si="41">S69/10^3</f>
        <v>-0.21199999999999999</v>
      </c>
      <c r="V69" s="351">
        <f t="shared" ref="V69:V75" si="42">T69/10^3</f>
        <v>38.207999999999998</v>
      </c>
    </row>
    <row r="70" spans="1:22" s="43" customFormat="1" ht="12" hidden="1">
      <c r="A70" s="44" t="s">
        <v>59</v>
      </c>
      <c r="B70" s="44"/>
      <c r="C70" s="46">
        <v>28751</v>
      </c>
      <c r="D70" s="46">
        <f>SUM(D25:D35)</f>
        <v>-12276</v>
      </c>
      <c r="E70" s="347">
        <f t="shared" si="33"/>
        <v>28.751000000000001</v>
      </c>
      <c r="F70" s="347">
        <f t="shared" si="34"/>
        <v>-12.276</v>
      </c>
      <c r="G70" s="46">
        <v>-11849</v>
      </c>
      <c r="H70" s="46"/>
      <c r="I70" s="350">
        <f t="shared" si="35"/>
        <v>-11.849</v>
      </c>
      <c r="J70" s="351">
        <f t="shared" si="36"/>
        <v>0</v>
      </c>
      <c r="K70" s="46">
        <v>75060.293720000001</v>
      </c>
      <c r="L70" s="46"/>
      <c r="M70" s="350">
        <f t="shared" si="37"/>
        <v>75.060293720000004</v>
      </c>
      <c r="N70" s="351">
        <f t="shared" si="38"/>
        <v>0</v>
      </c>
      <c r="O70" s="46" t="e">
        <v>#REF!</v>
      </c>
      <c r="P70" s="46"/>
      <c r="Q70" s="350" t="e">
        <f t="shared" si="39"/>
        <v>#REF!</v>
      </c>
      <c r="R70" s="351">
        <f t="shared" si="40"/>
        <v>0</v>
      </c>
      <c r="S70" s="46">
        <v>49808</v>
      </c>
      <c r="T70" s="46">
        <f>SUM(T25:T35)</f>
        <v>-31369</v>
      </c>
      <c r="U70" s="350">
        <f t="shared" si="41"/>
        <v>49.808</v>
      </c>
      <c r="V70" s="351">
        <f t="shared" si="42"/>
        <v>-31.369</v>
      </c>
    </row>
    <row r="71" spans="1:22" ht="12" hidden="1">
      <c r="A71" s="44" t="s">
        <v>60</v>
      </c>
      <c r="B71" s="44"/>
      <c r="C71" s="46">
        <v>-1231</v>
      </c>
      <c r="D71" s="46">
        <f>SUM(D38:D46)+D80</f>
        <v>-976</v>
      </c>
      <c r="E71" s="347">
        <f t="shared" si="33"/>
        <v>-1.2310000000000001</v>
      </c>
      <c r="F71" s="347">
        <f t="shared" si="34"/>
        <v>-0.97599999999999998</v>
      </c>
      <c r="G71" s="46">
        <v>-1307</v>
      </c>
      <c r="H71" s="46"/>
      <c r="I71" s="350">
        <f t="shared" si="35"/>
        <v>-1.3069999999999999</v>
      </c>
      <c r="J71" s="351">
        <f t="shared" si="36"/>
        <v>0</v>
      </c>
      <c r="K71" s="46">
        <v>3415</v>
      </c>
      <c r="L71" s="46"/>
      <c r="M71" s="350">
        <f t="shared" si="37"/>
        <v>3.415</v>
      </c>
      <c r="N71" s="351">
        <f t="shared" si="38"/>
        <v>0</v>
      </c>
      <c r="O71" s="46" t="e">
        <v>#REF!</v>
      </c>
      <c r="P71" s="46"/>
      <c r="Q71" s="350" t="e">
        <f t="shared" si="39"/>
        <v>#REF!</v>
      </c>
      <c r="R71" s="351">
        <f t="shared" si="40"/>
        <v>0</v>
      </c>
      <c r="S71" s="46">
        <v>-8805</v>
      </c>
      <c r="T71" s="46">
        <f>T47</f>
        <v>-133</v>
      </c>
      <c r="U71" s="350">
        <f t="shared" si="41"/>
        <v>-8.8049999999999997</v>
      </c>
      <c r="V71" s="351">
        <f t="shared" si="42"/>
        <v>-0.13300000000000001</v>
      </c>
    </row>
    <row r="72" spans="1:22" ht="12" hidden="1">
      <c r="A72" s="44" t="s">
        <v>61</v>
      </c>
      <c r="B72" s="44"/>
      <c r="C72" s="46">
        <v>-1443</v>
      </c>
      <c r="D72" s="46">
        <f>SUM(D48:D58)</f>
        <v>-10875</v>
      </c>
      <c r="E72" s="347">
        <f t="shared" si="33"/>
        <v>-1.4430000000000001</v>
      </c>
      <c r="F72" s="347">
        <f t="shared" si="34"/>
        <v>-10.875</v>
      </c>
      <c r="G72" s="46">
        <v>-1608</v>
      </c>
      <c r="H72" s="46"/>
      <c r="I72" s="350">
        <f t="shared" si="35"/>
        <v>-1.6080000000000001</v>
      </c>
      <c r="J72" s="351">
        <f t="shared" si="36"/>
        <v>0</v>
      </c>
      <c r="K72" s="46">
        <v>-12695</v>
      </c>
      <c r="L72" s="46"/>
      <c r="M72" s="350">
        <f t="shared" si="37"/>
        <v>-12.695</v>
      </c>
      <c r="N72" s="351">
        <f t="shared" si="38"/>
        <v>0</v>
      </c>
      <c r="O72" s="46" t="e">
        <v>#REF!</v>
      </c>
      <c r="P72" s="46"/>
      <c r="Q72" s="350" t="e">
        <f t="shared" si="39"/>
        <v>#REF!</v>
      </c>
      <c r="R72" s="351">
        <f t="shared" si="40"/>
        <v>0</v>
      </c>
      <c r="S72" s="46">
        <v>-45684</v>
      </c>
      <c r="T72" s="46">
        <f>SUM(T48:T58)</f>
        <v>-17949</v>
      </c>
      <c r="U72" s="350">
        <f t="shared" si="41"/>
        <v>-45.683999999999997</v>
      </c>
      <c r="V72" s="351">
        <f t="shared" si="42"/>
        <v>-17.949000000000002</v>
      </c>
    </row>
    <row r="73" spans="1:22" ht="12" hidden="1">
      <c r="A73" s="48" t="s">
        <v>62</v>
      </c>
      <c r="B73" s="48"/>
      <c r="C73" s="45">
        <v>29202</v>
      </c>
      <c r="D73" s="45">
        <f>SUM(D68:D72)</f>
        <v>-9554</v>
      </c>
      <c r="E73" s="347">
        <f t="shared" si="33"/>
        <v>29.202000000000002</v>
      </c>
      <c r="F73" s="347">
        <f t="shared" si="34"/>
        <v>-9.5540000000000003</v>
      </c>
      <c r="G73" s="45">
        <v>5744</v>
      </c>
      <c r="H73" s="46"/>
      <c r="I73" s="350">
        <f t="shared" si="35"/>
        <v>5.7439999999999998</v>
      </c>
      <c r="J73" s="351">
        <f t="shared" si="36"/>
        <v>0</v>
      </c>
      <c r="K73" s="46">
        <v>14347.293720000001</v>
      </c>
      <c r="L73" s="46"/>
      <c r="M73" s="350">
        <f t="shared" si="37"/>
        <v>14.347293720000001</v>
      </c>
      <c r="N73" s="351">
        <f t="shared" si="38"/>
        <v>0</v>
      </c>
      <c r="O73" s="46" t="e">
        <v>#REF!</v>
      </c>
      <c r="P73" s="46"/>
      <c r="Q73" s="350" t="e">
        <f t="shared" si="39"/>
        <v>#REF!</v>
      </c>
      <c r="R73" s="351">
        <f t="shared" si="40"/>
        <v>0</v>
      </c>
      <c r="S73" s="45">
        <v>-3038</v>
      </c>
      <c r="T73" s="45">
        <f>SUM(T68:T72)</f>
        <v>24375</v>
      </c>
      <c r="U73" s="350">
        <f t="shared" si="41"/>
        <v>-3.0379999999999998</v>
      </c>
      <c r="V73" s="351">
        <f t="shared" si="42"/>
        <v>24.375</v>
      </c>
    </row>
    <row r="74" spans="1:22" ht="12" hidden="1">
      <c r="A74" s="48" t="s">
        <v>63</v>
      </c>
      <c r="B74" s="48"/>
      <c r="C74" s="45">
        <v>65258</v>
      </c>
      <c r="D74" s="45">
        <f>D62</f>
        <v>89633</v>
      </c>
      <c r="E74" s="347">
        <f t="shared" si="33"/>
        <v>65.257999999999996</v>
      </c>
      <c r="F74" s="347">
        <f t="shared" si="34"/>
        <v>89.632999999999996</v>
      </c>
      <c r="G74" s="45">
        <v>94460</v>
      </c>
      <c r="H74" s="45"/>
      <c r="I74" s="350">
        <f t="shared" si="35"/>
        <v>94.46</v>
      </c>
      <c r="J74" s="351">
        <f t="shared" si="36"/>
        <v>0</v>
      </c>
      <c r="K74" s="45">
        <v>47110</v>
      </c>
      <c r="L74" s="45"/>
      <c r="M74" s="350">
        <f t="shared" si="37"/>
        <v>47.11</v>
      </c>
      <c r="N74" s="351">
        <f t="shared" si="38"/>
        <v>0</v>
      </c>
      <c r="O74" s="45" t="e">
        <v>#REF!</v>
      </c>
      <c r="P74" s="45"/>
      <c r="Q74" s="350" t="e">
        <f t="shared" si="39"/>
        <v>#REF!</v>
      </c>
      <c r="R74" s="351">
        <f t="shared" si="40"/>
        <v>0</v>
      </c>
      <c r="S74" s="45">
        <v>16978</v>
      </c>
      <c r="T74" s="45">
        <f>T62</f>
        <v>89633</v>
      </c>
      <c r="U74" s="350">
        <f t="shared" si="41"/>
        <v>16.978000000000002</v>
      </c>
      <c r="V74" s="351">
        <f t="shared" si="42"/>
        <v>89.632999999999996</v>
      </c>
    </row>
    <row r="75" spans="1:22" ht="12" hidden="1">
      <c r="A75" s="48" t="s">
        <v>64</v>
      </c>
      <c r="B75" s="48"/>
      <c r="C75" s="45">
        <v>94460</v>
      </c>
      <c r="D75" s="45">
        <f>D73+D74</f>
        <v>80079</v>
      </c>
      <c r="E75" s="347">
        <f t="shared" si="33"/>
        <v>94.46</v>
      </c>
      <c r="F75" s="347">
        <f t="shared" si="34"/>
        <v>80.078999999999994</v>
      </c>
      <c r="G75" s="45">
        <v>100204</v>
      </c>
      <c r="H75" s="45"/>
      <c r="I75" s="352">
        <f t="shared" si="35"/>
        <v>100.20399999999999</v>
      </c>
      <c r="J75" s="353">
        <f t="shared" si="36"/>
        <v>0</v>
      </c>
      <c r="K75" s="45">
        <v>61457.293720000001</v>
      </c>
      <c r="L75" s="45"/>
      <c r="M75" s="352">
        <f t="shared" si="37"/>
        <v>61.457293720000003</v>
      </c>
      <c r="N75" s="353">
        <f t="shared" si="38"/>
        <v>0</v>
      </c>
      <c r="O75" s="45" t="e">
        <v>#REF!</v>
      </c>
      <c r="P75" s="45"/>
      <c r="Q75" s="352" t="e">
        <f t="shared" si="39"/>
        <v>#REF!</v>
      </c>
      <c r="R75" s="353">
        <f t="shared" si="40"/>
        <v>0</v>
      </c>
      <c r="S75" s="45">
        <v>13940</v>
      </c>
      <c r="T75" s="45">
        <f>T73+T74</f>
        <v>114008</v>
      </c>
      <c r="U75" s="352">
        <f t="shared" si="41"/>
        <v>13.94</v>
      </c>
      <c r="V75" s="353">
        <f t="shared" si="42"/>
        <v>114.008</v>
      </c>
    </row>
    <row r="76" spans="1:22" ht="12" hidden="1">
      <c r="A76" s="15"/>
      <c r="B76" s="15"/>
      <c r="C76" s="99"/>
      <c r="D76" s="15"/>
      <c r="E76" s="15"/>
      <c r="F76" s="15"/>
      <c r="H76" s="15"/>
      <c r="I76" s="15"/>
      <c r="J76" s="15"/>
      <c r="K76" s="100"/>
      <c r="L76" s="15"/>
      <c r="M76" s="89"/>
      <c r="N76" s="89"/>
      <c r="O76" s="100"/>
      <c r="P76" s="15"/>
      <c r="Q76" s="116"/>
      <c r="R76" s="89"/>
      <c r="S76" s="117"/>
      <c r="T76" s="15"/>
      <c r="U76" s="89"/>
      <c r="V76" s="89"/>
    </row>
    <row r="77" spans="1:22" ht="12" hidden="1">
      <c r="A77" s="15"/>
      <c r="B77" s="15"/>
      <c r="C77" s="15"/>
      <c r="D77" s="15"/>
      <c r="E77" s="15"/>
      <c r="F77" s="15"/>
      <c r="H77" s="15"/>
      <c r="I77" s="15"/>
      <c r="J77" s="15"/>
      <c r="L77" s="15"/>
      <c r="M77" s="89"/>
      <c r="N77" s="89"/>
      <c r="P77" s="15"/>
      <c r="Q77" s="116"/>
      <c r="R77" s="89"/>
      <c r="T77" s="15"/>
      <c r="U77" s="89"/>
      <c r="V77" s="89"/>
    </row>
    <row r="78" spans="1:22" ht="12" hidden="1">
      <c r="A78" s="15" t="s">
        <v>65</v>
      </c>
      <c r="B78" s="15"/>
      <c r="C78" s="15"/>
      <c r="D78" s="15"/>
      <c r="E78" s="15"/>
      <c r="F78" s="15"/>
      <c r="H78" s="15"/>
      <c r="I78" s="15"/>
      <c r="J78" s="15"/>
      <c r="L78" s="15"/>
      <c r="M78" s="89"/>
      <c r="N78" s="89"/>
      <c r="P78" s="15"/>
      <c r="Q78" s="89"/>
      <c r="R78" s="89"/>
      <c r="S78" s="99"/>
      <c r="T78" s="15"/>
      <c r="U78" s="89"/>
      <c r="V78" s="89"/>
    </row>
    <row r="79" spans="1:22" ht="12" hidden="1">
      <c r="A79" s="15"/>
      <c r="B79" s="15"/>
      <c r="C79" s="15"/>
      <c r="D79" s="15"/>
      <c r="E79" s="15"/>
      <c r="F79" s="15"/>
      <c r="H79" s="15"/>
      <c r="I79" s="15"/>
      <c r="J79" s="15"/>
      <c r="K79" s="55">
        <v>-5733</v>
      </c>
      <c r="L79" s="55"/>
      <c r="M79" s="89">
        <f>L79/K79-1</f>
        <v>-1</v>
      </c>
      <c r="N79" s="89"/>
      <c r="P79" s="15"/>
      <c r="Q79" s="89"/>
      <c r="R79" s="89"/>
      <c r="T79" s="15"/>
      <c r="U79" s="89"/>
      <c r="V79" s="89"/>
    </row>
    <row r="80" spans="1:22" ht="12" hidden="1">
      <c r="A80" s="7" t="s">
        <v>66</v>
      </c>
      <c r="B80" s="15"/>
      <c r="C80" s="15"/>
      <c r="D80" s="15"/>
      <c r="E80" s="15"/>
      <c r="F80" s="15"/>
      <c r="H80" s="15"/>
      <c r="I80" s="15"/>
      <c r="J80" s="15"/>
      <c r="L80" s="15"/>
      <c r="M80" s="89"/>
      <c r="N80" s="89"/>
      <c r="P80" s="15"/>
      <c r="Q80" s="89"/>
      <c r="R80" s="89"/>
      <c r="T80" s="15"/>
      <c r="U80" s="89"/>
      <c r="V80" s="89"/>
    </row>
    <row r="81" spans="1:22" ht="12" hidden="1">
      <c r="A81" s="7" t="s">
        <v>67</v>
      </c>
      <c r="B81" s="15"/>
      <c r="C81" s="15"/>
      <c r="D81" s="15"/>
      <c r="E81" s="15"/>
      <c r="F81" s="15"/>
      <c r="G81" s="55">
        <v>25040</v>
      </c>
      <c r="H81" s="15"/>
      <c r="I81" s="15"/>
      <c r="J81" s="15"/>
      <c r="L81" s="15"/>
      <c r="M81" s="89"/>
      <c r="N81" s="89"/>
      <c r="P81" s="15"/>
      <c r="Q81" s="89"/>
      <c r="R81" s="89"/>
      <c r="S81" s="47"/>
      <c r="T81" s="15"/>
      <c r="U81" s="89"/>
      <c r="V81" s="89"/>
    </row>
    <row r="82" spans="1:22" ht="12" hidden="1">
      <c r="A82" s="15"/>
      <c r="B82" s="15"/>
      <c r="C82" s="15"/>
      <c r="D82" s="15"/>
      <c r="E82" s="15"/>
      <c r="F82" s="15"/>
      <c r="H82" s="15"/>
      <c r="I82" s="15"/>
      <c r="J82" s="15"/>
      <c r="L82" s="15"/>
      <c r="M82" s="89"/>
      <c r="N82" s="89"/>
      <c r="P82" s="15"/>
      <c r="Q82" s="89"/>
      <c r="R82" s="89"/>
      <c r="T82" s="15"/>
      <c r="U82" s="89"/>
      <c r="V82" s="89"/>
    </row>
    <row r="83" spans="1:22" ht="12" hidden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89"/>
      <c r="N83" s="89"/>
      <c r="O83" s="15"/>
      <c r="P83" s="15"/>
      <c r="Q83" s="89"/>
      <c r="R83" s="89"/>
      <c r="T83" s="15"/>
      <c r="U83" s="89"/>
      <c r="V83" s="89"/>
    </row>
    <row r="84" spans="1:22" ht="12" hidden="1">
      <c r="A84" s="15" t="s">
        <v>69</v>
      </c>
      <c r="B84" s="15"/>
      <c r="C84" s="14"/>
      <c r="D84" s="15"/>
      <c r="E84" s="15"/>
      <c r="F84" s="15"/>
      <c r="G84" s="15">
        <v>-25000</v>
      </c>
      <c r="H84" s="15"/>
      <c r="I84" s="15"/>
      <c r="J84" s="15"/>
      <c r="K84" s="15"/>
      <c r="L84" s="15"/>
      <c r="M84" s="89"/>
      <c r="N84" s="89"/>
      <c r="O84" s="15"/>
      <c r="P84" s="15"/>
      <c r="Q84" s="89"/>
      <c r="R84" s="89"/>
      <c r="T84" s="15"/>
      <c r="U84" s="89"/>
      <c r="V84" s="89"/>
    </row>
    <row r="85" spans="1:22" ht="15.75" hidden="1" customHeight="1">
      <c r="G85" s="15"/>
      <c r="K85" s="15"/>
      <c r="O85" s="15"/>
    </row>
    <row r="86" spans="1:22" ht="15.75" hidden="1" customHeight="1">
      <c r="G86" s="15"/>
      <c r="K86" s="15"/>
      <c r="O86" s="15"/>
    </row>
    <row r="87" spans="1:22" ht="15.75" hidden="1" customHeight="1">
      <c r="B87" s="15" t="s">
        <v>68</v>
      </c>
      <c r="C87" s="47">
        <v>-228</v>
      </c>
      <c r="D87" s="47">
        <f>D43+D45+D44</f>
        <v>-1645</v>
      </c>
      <c r="E87" s="49">
        <f>D87/C87-1</f>
        <v>6.2149122807017543</v>
      </c>
      <c r="F87" s="15"/>
      <c r="G87" s="15">
        <v>-1291</v>
      </c>
      <c r="H87" s="47"/>
      <c r="I87" s="49">
        <f>H87/G87-1</f>
        <v>-1</v>
      </c>
      <c r="J87" s="15"/>
      <c r="K87" s="15"/>
      <c r="L87" s="47"/>
      <c r="M87" s="90"/>
      <c r="N87" s="89"/>
      <c r="O87" s="15"/>
      <c r="P87" s="47"/>
      <c r="Q87" s="90"/>
      <c r="R87" s="89"/>
      <c r="T87" s="47"/>
      <c r="U87" s="90"/>
      <c r="V87" s="89"/>
    </row>
    <row r="88" spans="1:22" ht="15.75" hidden="1" customHeight="1">
      <c r="G88" s="15"/>
      <c r="K88" s="15"/>
      <c r="O88" s="15"/>
    </row>
    <row r="89" spans="1:22" ht="15.75" hidden="1" customHeight="1">
      <c r="G89" s="15"/>
      <c r="K89" s="15"/>
      <c r="O89" s="15"/>
    </row>
    <row r="90" spans="1:22" ht="15.75" hidden="1" customHeight="1">
      <c r="G90" s="15"/>
      <c r="K90" s="15"/>
      <c r="O90" s="15"/>
    </row>
    <row r="91" spans="1:22" ht="15.75" hidden="1" customHeight="1">
      <c r="G91" s="15"/>
      <c r="K91" s="15"/>
      <c r="O91" s="118"/>
    </row>
    <row r="92" spans="1:22" ht="15.75" hidden="1" customHeight="1">
      <c r="G92" s="15"/>
      <c r="K92" s="15"/>
      <c r="O92" s="15"/>
    </row>
    <row r="93" spans="1:22" ht="15.75" hidden="1" customHeight="1">
      <c r="G93" s="15"/>
      <c r="K93" s="15"/>
      <c r="O93" s="15"/>
    </row>
    <row r="94" spans="1:22" ht="15.75" customHeight="1">
      <c r="G94" s="15"/>
      <c r="K94" s="15"/>
      <c r="O94" s="15"/>
    </row>
    <row r="95" spans="1:22" ht="15.75" customHeight="1">
      <c r="C95" s="397"/>
      <c r="D95" s="398"/>
      <c r="E95" s="399"/>
      <c r="F95" s="399"/>
      <c r="G95" s="398"/>
      <c r="H95" s="398"/>
      <c r="I95" s="399"/>
      <c r="J95" s="399"/>
      <c r="K95" s="398"/>
      <c r="L95" s="398"/>
      <c r="M95" s="400"/>
      <c r="N95" s="400"/>
      <c r="O95" s="398"/>
      <c r="P95" s="398"/>
      <c r="S95" s="392"/>
      <c r="T95" s="392"/>
    </row>
    <row r="96" spans="1:22" ht="15.75" customHeight="1">
      <c r="G96" s="15"/>
      <c r="K96" s="15"/>
      <c r="O96" s="15"/>
    </row>
    <row r="97" spans="7:15" ht="15.75" customHeight="1">
      <c r="G97" s="15"/>
      <c r="K97" s="15"/>
      <c r="O97" s="15"/>
    </row>
    <row r="98" spans="7:15" ht="15.75" customHeight="1">
      <c r="G98" s="15"/>
      <c r="K98" s="15"/>
      <c r="O98" s="15"/>
    </row>
    <row r="99" spans="7:15" ht="15.75" customHeight="1">
      <c r="G99" s="15"/>
      <c r="K99" s="15"/>
      <c r="O99" s="15"/>
    </row>
    <row r="100" spans="7:15" ht="15.75" customHeight="1">
      <c r="G100" s="15"/>
      <c r="K100" s="15"/>
      <c r="O100" s="15"/>
    </row>
    <row r="101" spans="7:15" ht="15.75" customHeight="1">
      <c r="G101" s="15"/>
      <c r="K101" s="15"/>
      <c r="O101" s="15"/>
    </row>
    <row r="102" spans="7:15" ht="15.75" customHeight="1">
      <c r="G102" s="15"/>
      <c r="K102" s="15"/>
      <c r="O102" s="15"/>
    </row>
    <row r="103" spans="7:15" ht="15.75" customHeight="1">
      <c r="G103" s="15"/>
      <c r="K103" s="15"/>
      <c r="O103" s="15"/>
    </row>
    <row r="104" spans="7:15" ht="15.75" customHeight="1">
      <c r="G104" s="15"/>
      <c r="K104" s="15"/>
      <c r="O104" s="15"/>
    </row>
    <row r="105" spans="7:15" ht="15.75" customHeight="1">
      <c r="G105" s="15"/>
      <c r="K105" s="15"/>
      <c r="O105" s="15"/>
    </row>
    <row r="106" spans="7:15" ht="15.75" customHeight="1">
      <c r="G106" s="15"/>
      <c r="K106" s="15"/>
      <c r="O106" s="15"/>
    </row>
    <row r="107" spans="7:15" ht="15.75" customHeight="1">
      <c r="G107" s="15"/>
      <c r="K107" s="15"/>
      <c r="O107" s="15"/>
    </row>
    <row r="108" spans="7:15" ht="15.75" customHeight="1">
      <c r="G108" s="15"/>
      <c r="K108" s="15"/>
      <c r="O108" s="15"/>
    </row>
    <row r="109" spans="7:15" ht="15.75" customHeight="1">
      <c r="G109" s="15"/>
      <c r="K109" s="15"/>
      <c r="O109" s="15"/>
    </row>
    <row r="110" spans="7:15" ht="15.75" customHeight="1">
      <c r="G110" s="15"/>
      <c r="K110" s="15"/>
      <c r="O110" s="15"/>
    </row>
    <row r="111" spans="7:15" ht="15.75" customHeight="1">
      <c r="G111" s="15"/>
      <c r="K111" s="15"/>
      <c r="O111" s="15"/>
    </row>
    <row r="112" spans="7:15" ht="15.75" customHeight="1">
      <c r="G112" s="15"/>
      <c r="K112" s="15"/>
      <c r="O112" s="15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I54 E54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2020-08-24T19:59:50Z</cp:lastPrinted>
  <dcterms:created xsi:type="dcterms:W3CDTF">2012-03-29T12:17:55Z</dcterms:created>
  <dcterms:modified xsi:type="dcterms:W3CDTF">2022-05-09T15:42:41Z</dcterms:modified>
</cp:coreProperties>
</file>