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2T23\_PACOTE DIVULGAÇÃO\"/>
    </mc:Choice>
  </mc:AlternateContent>
  <xr:revisionPtr revIDLastSave="0" documentId="13_ncr:1_{305009B2-D238-4E5D-9EFA-DBB20A9ACCE4}" xr6:coauthVersionLast="47" xr6:coauthVersionMax="47" xr10:uidLastSave="{00000000-0000-0000-0000-000000000000}"/>
  <bookViews>
    <workbookView xWindow="-28785" yWindow="0" windowWidth="28770" windowHeight="1530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Income Statement" sheetId="1" r:id="rId4"/>
    <sheet name="DFC Price" sheetId="18" state="hidden" r:id="rId5"/>
    <sheet name="Balance Sheet" sheetId="3" r:id="rId6"/>
    <sheet name="Cash Flow" sheetId="12" r:id="rId7"/>
    <sheet name="Income Statement Hist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'Balance Sheet'!$A$2:$H$68</definedName>
    <definedName name="_xlnm.Print_Area" localSheetId="6">'Cash Flow'!$A$2:$V$77</definedName>
    <definedName name="_xlnm.Print_Area" localSheetId="3">'Income Statement'!$A$2:$AH$53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'Cash Flow'!$2:$2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2" l="1"/>
  <c r="H52" i="12"/>
  <c r="H41" i="12"/>
  <c r="H39" i="12"/>
  <c r="H38" i="12"/>
  <c r="H28" i="12"/>
  <c r="H27" i="12"/>
  <c r="H17" i="12"/>
  <c r="H16" i="12"/>
  <c r="H15" i="12"/>
  <c r="H9" i="12"/>
  <c r="H8" i="12"/>
  <c r="H6" i="12"/>
  <c r="G65" i="12"/>
  <c r="H63" i="12"/>
  <c r="G63" i="12"/>
  <c r="G60" i="12"/>
  <c r="G61" i="12" s="1"/>
  <c r="H59" i="12"/>
  <c r="H58" i="12"/>
  <c r="H57" i="12"/>
  <c r="H56" i="12"/>
  <c r="H55" i="12"/>
  <c r="H54" i="12"/>
  <c r="H51" i="12"/>
  <c r="H50" i="12"/>
  <c r="H49" i="12"/>
  <c r="H48" i="12"/>
  <c r="H46" i="12"/>
  <c r="H45" i="12"/>
  <c r="H44" i="12"/>
  <c r="H43" i="12"/>
  <c r="H42" i="12"/>
  <c r="H40" i="12"/>
  <c r="H37" i="12"/>
  <c r="H35" i="12"/>
  <c r="H34" i="12"/>
  <c r="H33" i="12"/>
  <c r="H32" i="12"/>
  <c r="H31" i="12"/>
  <c r="H30" i="12"/>
  <c r="H29" i="12"/>
  <c r="H26" i="12"/>
  <c r="H25" i="12"/>
  <c r="H24" i="12"/>
  <c r="H22" i="12"/>
  <c r="H21" i="12"/>
  <c r="H20" i="12"/>
  <c r="H19" i="12"/>
  <c r="H18" i="12"/>
  <c r="H14" i="12"/>
  <c r="H13" i="12"/>
  <c r="H12" i="12"/>
  <c r="H11" i="12"/>
  <c r="H10" i="12"/>
  <c r="H7" i="12"/>
  <c r="H5" i="12"/>
  <c r="H4" i="12"/>
  <c r="S65" i="12"/>
  <c r="T63" i="12"/>
  <c r="S63" i="12"/>
  <c r="S61" i="12"/>
  <c r="S47" i="12"/>
  <c r="S36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4" i="12"/>
  <c r="T60" i="12" l="1"/>
  <c r="H60" i="12"/>
  <c r="T23" i="12"/>
  <c r="H23" i="12" s="1"/>
  <c r="V8" i="1"/>
  <c r="U8" i="1"/>
  <c r="U14" i="1"/>
  <c r="S13" i="1"/>
  <c r="AF50" i="1" l="1"/>
  <c r="AF45" i="1"/>
  <c r="AF43" i="1"/>
  <c r="AF41" i="1"/>
  <c r="AF39" i="1"/>
  <c r="AF38" i="1"/>
  <c r="AF51" i="1"/>
  <c r="AE51" i="1"/>
  <c r="AE50" i="1"/>
  <c r="AF49" i="1"/>
  <c r="AE49" i="1"/>
  <c r="AF48" i="1"/>
  <c r="AE48" i="1"/>
  <c r="AF47" i="1"/>
  <c r="AE47" i="1"/>
  <c r="AF46" i="1"/>
  <c r="AE46" i="1"/>
  <c r="AE45" i="1"/>
  <c r="AE39" i="1"/>
  <c r="AE40" i="1"/>
  <c r="AF40" i="1"/>
  <c r="AE41" i="1"/>
  <c r="AE42" i="1"/>
  <c r="AF42" i="1"/>
  <c r="AE43" i="1"/>
  <c r="AE38" i="1"/>
  <c r="T14" i="1"/>
  <c r="S10" i="1"/>
  <c r="T8" i="1"/>
  <c r="AF4" i="1" l="1"/>
  <c r="AF5" i="1"/>
  <c r="AF6" i="1"/>
  <c r="AF3" i="1"/>
  <c r="AE6" i="1" l="1"/>
  <c r="AE5" i="1"/>
  <c r="AE4" i="1"/>
  <c r="AE3" i="1"/>
  <c r="AE8" i="1" s="1"/>
  <c r="AE10" i="1" s="1"/>
  <c r="T32" i="1"/>
  <c r="T31" i="1"/>
  <c r="T33" i="1" l="1"/>
  <c r="T18" i="1"/>
  <c r="T21" i="1"/>
  <c r="AE11" i="1"/>
  <c r="T9" i="1"/>
  <c r="T25" i="1"/>
  <c r="T13" i="1"/>
  <c r="T26" i="1"/>
  <c r="T27" i="1"/>
  <c r="U13" i="1" l="1"/>
  <c r="V18" i="1"/>
  <c r="U18" i="1"/>
  <c r="T10" i="1"/>
  <c r="V21" i="1"/>
  <c r="U21" i="1"/>
  <c r="V33" i="1"/>
  <c r="U33" i="1"/>
  <c r="V10" i="1" l="1"/>
  <c r="U10" i="1"/>
  <c r="T11" i="1"/>
  <c r="T23" i="1"/>
  <c r="T29" i="1" s="1"/>
  <c r="T35" i="1" s="1"/>
  <c r="F54" i="3"/>
  <c r="V35" i="1" l="1"/>
  <c r="U35" i="1"/>
  <c r="T44" i="1"/>
  <c r="T36" i="1"/>
  <c r="O33" i="1"/>
  <c r="P33" i="1"/>
  <c r="Q18" i="1"/>
  <c r="O27" i="1"/>
  <c r="P27" i="1"/>
  <c r="O23" i="1"/>
  <c r="P19" i="1"/>
  <c r="P16" i="1"/>
  <c r="U44" i="1" l="1"/>
  <c r="V44" i="1"/>
  <c r="T52" i="1"/>
  <c r="O29" i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T53" i="1" l="1"/>
  <c r="V52" i="1"/>
  <c r="U52" i="1"/>
  <c r="AF8" i="1"/>
  <c r="AF10" i="1" s="1"/>
  <c r="AF11" i="1" l="1"/>
  <c r="AF23" i="1"/>
  <c r="P11" i="1" l="1"/>
  <c r="R10" i="1"/>
  <c r="Q10" i="1"/>
  <c r="P23" i="1"/>
  <c r="P29" i="1" s="1"/>
  <c r="Q23" i="1" l="1"/>
  <c r="R23" i="1"/>
  <c r="P35" i="1"/>
  <c r="R29" i="1"/>
  <c r="Q29" i="1"/>
  <c r="P63" i="12"/>
  <c r="P36" i="1" l="1"/>
  <c r="P44" i="1"/>
  <c r="R35" i="1"/>
  <c r="Q35" i="1"/>
  <c r="AE33" i="1"/>
  <c r="AF27" i="1"/>
  <c r="AE27" i="1"/>
  <c r="AF33" i="1" l="1"/>
  <c r="P58" i="12"/>
  <c r="P51" i="12"/>
  <c r="P46" i="12"/>
  <c r="P40" i="12"/>
  <c r="P35" i="12"/>
  <c r="P25" i="12"/>
  <c r="P21" i="12"/>
  <c r="P7" i="12"/>
  <c r="R63" i="12"/>
  <c r="Q63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P65" i="12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7" i="12"/>
  <c r="N6" i="12"/>
  <c r="M4" i="12"/>
  <c r="N4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5" i="12"/>
  <c r="M26" i="12"/>
  <c r="M28" i="12"/>
  <c r="M29" i="12"/>
  <c r="M30" i="12"/>
  <c r="M31" i="12"/>
  <c r="M32" i="12"/>
  <c r="M39" i="12"/>
  <c r="M40" i="12"/>
  <c r="M43" i="12"/>
  <c r="M44" i="12"/>
  <c r="M45" i="12"/>
  <c r="M46" i="12"/>
  <c r="M49" i="12"/>
  <c r="M50" i="12"/>
  <c r="M51" i="12"/>
  <c r="M52" i="12"/>
  <c r="M53" i="12"/>
  <c r="M54" i="12"/>
  <c r="M55" i="12"/>
  <c r="M56" i="12"/>
  <c r="M57" i="12"/>
  <c r="M58" i="12"/>
  <c r="M59" i="12"/>
  <c r="M63" i="12"/>
  <c r="N60" i="12" l="1"/>
  <c r="M60" i="12"/>
  <c r="Y21" i="1" l="1"/>
  <c r="Z50" i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Z36" i="1"/>
  <c r="Z32" i="1"/>
  <c r="Z26" i="1"/>
  <c r="Z21" i="1"/>
  <c r="Z19" i="1"/>
  <c r="Z16" i="1"/>
  <c r="Z14" i="1"/>
  <c r="Z8" i="1"/>
  <c r="Z6" i="1"/>
  <c r="Y6" i="1"/>
  <c r="Z5" i="1"/>
  <c r="Y5" i="1"/>
  <c r="Z4" i="1"/>
  <c r="Y4" i="1"/>
  <c r="Z3" i="1"/>
  <c r="Y3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Z33" i="1" l="1"/>
  <c r="Y33" i="1"/>
  <c r="Y14" i="1"/>
  <c r="Z11" i="1"/>
  <c r="Y26" i="1"/>
  <c r="Z31" i="1"/>
  <c r="Z18" i="1"/>
  <c r="Y8" i="1"/>
  <c r="Y13" i="1"/>
  <c r="Y25" i="1"/>
  <c r="Z10" i="1"/>
  <c r="Y32" i="1"/>
  <c r="Z25" i="1"/>
  <c r="Y18" i="1"/>
  <c r="Z13" i="1"/>
  <c r="Y10" i="1"/>
  <c r="D29" i="19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Z23" i="1" l="1"/>
  <c r="Y23" i="1"/>
  <c r="Z27" i="1"/>
  <c r="Y27" i="1"/>
  <c r="Z29" i="1" l="1"/>
  <c r="Y29" i="1"/>
  <c r="Z35" i="1" l="1"/>
  <c r="Y35" i="1"/>
  <c r="N35" i="12" l="1"/>
  <c r="M35" i="12"/>
  <c r="Z44" i="1"/>
  <c r="Y44" i="1"/>
  <c r="Q33" i="12" l="1"/>
  <c r="R33" i="12"/>
  <c r="R34" i="12"/>
  <c r="Q34" i="12"/>
  <c r="Z53" i="1"/>
  <c r="Y52" i="1"/>
  <c r="Z52" i="1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M42" i="12"/>
  <c r="N38" i="12"/>
  <c r="M38" i="12"/>
  <c r="N41" i="12"/>
  <c r="M41" i="12"/>
  <c r="G5" i="3"/>
  <c r="H5" i="3"/>
  <c r="R47" i="12" l="1"/>
  <c r="Q47" i="12"/>
  <c r="M47" i="12"/>
  <c r="N47" i="12"/>
  <c r="F65" i="3"/>
  <c r="F67" i="3" s="1"/>
  <c r="F26" i="3"/>
  <c r="F68" i="3" l="1"/>
  <c r="R61" i="12"/>
  <c r="Q61" i="12"/>
  <c r="R65" i="12" l="1"/>
  <c r="Q65" i="12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AF15" i="1" l="1"/>
  <c r="AF19" i="1" l="1"/>
  <c r="T47" i="12" l="1"/>
  <c r="H47" i="12" s="1"/>
  <c r="V47" i="12" l="1"/>
  <c r="U47" i="12"/>
  <c r="E19" i="12" l="1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AG32" i="1" l="1"/>
  <c r="AG31" i="1"/>
  <c r="AG26" i="1" l="1"/>
  <c r="AG25" i="1"/>
  <c r="AG21" i="1"/>
  <c r="AG18" i="1"/>
  <c r="AG13" i="1"/>
  <c r="AG27" i="1" l="1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H18" i="1"/>
  <c r="AH31" i="1"/>
  <c r="AH32" i="1"/>
  <c r="AH13" i="1"/>
  <c r="AH26" i="1"/>
  <c r="AH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AH27" i="1"/>
  <c r="AH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AG33" i="1" l="1"/>
  <c r="AH33" i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AH6" i="1" l="1"/>
  <c r="AG6" i="1"/>
  <c r="AG5" i="1"/>
  <c r="AH5" i="1"/>
  <c r="AH4" i="1"/>
  <c r="AG4" i="1" l="1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M10" i="12"/>
  <c r="N10" i="12"/>
  <c r="V27" i="12" l="1"/>
  <c r="U27" i="12"/>
  <c r="T71" i="12"/>
  <c r="T36" i="12"/>
  <c r="H36" i="12" s="1"/>
  <c r="H61" i="12" s="1"/>
  <c r="H65" i="12" s="1"/>
  <c r="V71" i="12" l="1"/>
  <c r="T74" i="12"/>
  <c r="T61" i="12"/>
  <c r="V36" i="12"/>
  <c r="U36" i="12"/>
  <c r="N27" i="12"/>
  <c r="M27" i="12"/>
  <c r="M36" i="12" l="1"/>
  <c r="N36" i="12"/>
  <c r="N61" i="12"/>
  <c r="M61" i="12"/>
  <c r="T65" i="12"/>
  <c r="V61" i="12"/>
  <c r="U61" i="12"/>
  <c r="V74" i="12"/>
  <c r="T76" i="12"/>
  <c r="V76" i="12" s="1"/>
  <c r="N65" i="12" l="1"/>
  <c r="M65" i="12"/>
  <c r="V65" i="12"/>
  <c r="U65" i="12"/>
  <c r="AG14" i="1"/>
  <c r="AC14" i="1"/>
  <c r="AF16" i="1"/>
  <c r="AD14" i="1" l="1"/>
  <c r="AF29" i="1" l="1"/>
  <c r="AF35" i="1" s="1"/>
  <c r="AC23" i="1"/>
  <c r="AD23" i="1"/>
  <c r="AF44" i="1" l="1"/>
  <c r="AC29" i="1"/>
  <c r="AD29" i="1"/>
  <c r="AD35" i="1" l="1"/>
  <c r="AC35" i="1"/>
  <c r="AD44" i="1" l="1"/>
  <c r="AC44" i="1"/>
  <c r="AF36" i="1"/>
  <c r="AD53" i="1" l="1"/>
  <c r="AC52" i="1"/>
  <c r="AD52" i="1"/>
  <c r="R3" i="1" l="1"/>
  <c r="Q3" i="1"/>
  <c r="AH3" i="1"/>
  <c r="O8" i="1"/>
  <c r="O11" i="1" l="1"/>
  <c r="R11" i="1" s="1"/>
  <c r="O19" i="1"/>
  <c r="R19" i="1" s="1"/>
  <c r="O16" i="1"/>
  <c r="R16" i="1" s="1"/>
  <c r="O36" i="1"/>
  <c r="R36" i="1" s="1"/>
  <c r="Q8" i="1"/>
  <c r="AG3" i="1"/>
  <c r="R8" i="1"/>
  <c r="AG8" i="1" l="1"/>
  <c r="AH8" i="1"/>
  <c r="AE19" i="1"/>
  <c r="AH19" i="1" s="1"/>
  <c r="AE16" i="1"/>
  <c r="AH16" i="1" s="1"/>
  <c r="AH11" i="1" l="1"/>
  <c r="AG10" i="1"/>
  <c r="AH10" i="1"/>
  <c r="AE23" i="1"/>
  <c r="AH23" i="1" l="1"/>
  <c r="AE29" i="1"/>
  <c r="AG23" i="1"/>
  <c r="AH29" i="1" l="1"/>
  <c r="AG29" i="1"/>
  <c r="AE35" i="1"/>
  <c r="AE36" i="1" l="1"/>
  <c r="AH36" i="1" s="1"/>
  <c r="AG35" i="1"/>
  <c r="AH35" i="1"/>
  <c r="P52" i="1" l="1"/>
  <c r="P53" i="1" l="1"/>
  <c r="AF52" i="1"/>
  <c r="AF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H44" i="1"/>
  <c r="AG44" i="1"/>
  <c r="AE53" i="1" l="1"/>
  <c r="AH53" i="1" s="1"/>
  <c r="AH52" i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<sst xmlns="http://schemas.openxmlformats.org/spreadsheetml/2006/main" count="827" uniqueCount="559">
  <si>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</si>
  <si>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</si>
  <si>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</si>
  <si>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</si>
  <si>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</si>
  <si>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</si>
  <si>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</si>
  <si>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</si>
  <si>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</si>
  <si>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</si>
  <si>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</si>
  <si>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</si>
  <si>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</si>
  <si>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</si>
  <si>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</si>
  <si>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</si>
  <si>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</si>
  <si>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</si>
  <si>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</si>
  <si>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</si>
  <si>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</si>
  <si>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</si>
  <si>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</si>
  <si>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</si>
  <si>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</si>
  <si>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</si>
  <si>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</si>
  <si>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</si>
  <si>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</si>
  <si>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</si>
  <si>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</si>
  <si>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</si>
  <si>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</si>
  <si>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</si>
  <si>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</si>
  <si>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</si>
  <si>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</si>
  <si>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</si>
  <si>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</si>
  <si>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</si>
  <si>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</si>
  <si>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</si>
  <si>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</si>
  <si>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</si>
  <si>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</si>
  <si>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</si>
  <si>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</si>
  <si>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</si>
  <si>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</si>
  <si>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</si>
  <si>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</si>
  <si>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</si>
  <si>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</si>
  <si>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</si>
  <si>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</si>
  <si>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</si>
  <si>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</si>
  <si>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</si>
  <si>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</si>
  <si>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</si>
  <si>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</si>
  <si>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</si>
  <si>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</si>
  <si>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</si>
  <si>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</si>
  <si>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</si>
  <si>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</si>
  <si>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</si>
  <si>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</si>
  <si>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</si>
  <si>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</si>
  <si>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</si>
  <si>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</si>
  <si>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</si>
  <si>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</si>
  <si>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</si>
  <si>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</si>
  <si>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</si>
  <si>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</si>
  <si>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</si>
  <si>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</si>
  <si>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</si>
  <si>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</si>
  <si>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</si>
  <si>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</si>
  <si>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</si>
  <si>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</si>
  <si>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</si>
  <si>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</si>
  <si>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</si>
  <si>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</si>
  <si>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</si>
  <si>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</si>
  <si>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</si>
  <si>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</si>
  <si>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</si>
  <si>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</si>
  <si>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</si>
  <si>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</si>
  <si>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</si>
  <si>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</si>
  <si>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</si>
  <si>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</si>
  <si>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</si>
  <si>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</si>
  <si>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</si>
  <si>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</si>
  <si>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</si>
  <si>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</si>
  <si>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</si>
  <si>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</si>
  <si>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</si>
  <si>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</si>
  <si>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</si>
  <si>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</si>
  <si>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</si>
  <si>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</si>
  <si>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</si>
  <si>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</si>
  <si>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</si>
  <si>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</si>
  <si>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</si>
  <si>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</si>
  <si>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</si>
  <si>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</si>
  <si>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</si>
  <si>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</si>
  <si>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</si>
  <si>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</si>
  <si>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</si>
  <si>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</si>
  <si>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</si>
  <si>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</si>
  <si>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</si>
  <si>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</si>
  <si>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</si>
  <si>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</si>
  <si>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</si>
  <si>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</si>
  <si>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</si>
  <si>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</si>
  <si>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</si>
  <si>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</si>
  <si>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</si>
  <si>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</si>
  <si>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</si>
  <si>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</si>
  <si>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</si>
  <si>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</si>
  <si>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</si>
  <si>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</si>
  <si>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</si>
  <si>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</si>
  <si>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</si>
  <si>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</si>
  <si>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</si>
  <si>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</si>
  <si>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</si>
  <si>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</si>
  <si>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</si>
  <si>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</si>
  <si>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</si>
  <si>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</si>
  <si>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</si>
  <si>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</si>
  <si>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</si>
  <si>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</si>
  <si>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</si>
  <si>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</si>
  <si>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</si>
  <si>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</si>
  <si>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</si>
  <si>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</si>
  <si>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</si>
  <si>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</si>
  <si>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</si>
  <si>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</si>
  <si>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</si>
  <si>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</si>
  <si>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</si>
  <si>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</si>
  <si>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</si>
  <si>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</si>
  <si>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</si>
  <si>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</si>
  <si>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</si>
  <si>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</si>
  <si>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</si>
  <si>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</si>
  <si>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</si>
  <si>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</si>
  <si>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</si>
  <si>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</si>
  <si>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</si>
  <si>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</si>
  <si>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</si>
  <si>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</si>
  <si>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</si>
  <si>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</si>
  <si>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</si>
  <si>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</si>
  <si>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</si>
  <si>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</si>
  <si>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</si>
  <si>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</si>
  <si>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</si>
  <si>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</si>
  <si>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</si>
  <si>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</si>
  <si>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</si>
  <si>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</si>
  <si>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</si>
  <si>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</si>
  <si>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</si>
  <si>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</si>
  <si>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</si>
  <si>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</si>
  <si>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</si>
  <si>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</si>
  <si>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</si>
  <si>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</si>
  <si>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</si>
  <si>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</si>
  <si>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</si>
  <si>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</si>
  <si>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</si>
  <si>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</si>
  <si>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</si>
  <si>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</si>
  <si>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</si>
  <si>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</si>
  <si>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</si>
  <si>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</si>
  <si>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</si>
  <si>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</si>
  <si>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</si>
  <si>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</si>
  <si>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</si>
  <si>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</si>
  <si>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</si>
  <si>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</si>
  <si>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</si>
  <si>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</si>
  <si>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</si>
  <si>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</si>
  <si>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</si>
  <si>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</si>
  <si>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</si>
  <si>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</si>
  <si>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</si>
  <si>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</si>
  <si>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</si>
  <si>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</si>
  <si>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</si>
  <si>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</si>
  <si>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</si>
  <si>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</si>
  <si>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</si>
  <si>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</si>
  <si>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</si>
  <si>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</si>
  <si>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</si>
  <si>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</si>
  <si>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</si>
  <si>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</si>
  <si>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</si>
  <si>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</si>
  <si>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</si>
  <si>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</si>
  <si>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</si>
  <si>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</si>
  <si>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</si>
  <si>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</si>
  <si>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</si>
  <si>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</si>
  <si>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</si>
  <si>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</si>
  <si>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</si>
  <si>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</si>
  <si>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</si>
  <si>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</si>
  <si>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</si>
  <si>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</si>
  <si>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</si>
  <si>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</si>
  <si>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</si>
  <si>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</si>
  <si>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</si>
  <si>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</si>
  <si>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</si>
  <si>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</si>
  <si>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</si>
  <si>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</si>
  <si>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</si>
  <si>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</si>
  <si>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</si>
  <si>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</si>
  <si>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</si>
  <si>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</si>
  <si>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</si>
  <si>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</si>
  <si>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</si>
  <si>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</si>
  <si>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</si>
  <si>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</si>
  <si>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</si>
  <si>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</si>
  <si>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</si>
  <si>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</si>
  <si>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</si>
  <si>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</si>
  <si>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</si>
  <si>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</si>
  <si>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</si>
  <si>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</si>
  <si>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</si>
  <si>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</si>
  <si>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</si>
  <si>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</si>
  <si>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</si>
  <si>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</si>
  <si>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</si>
  <si>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</si>
  <si>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</si>
  <si>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</si>
  <si>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</si>
  <si>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</si>
  <si>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</si>
  <si>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</si>
  <si>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</si>
  <si>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</si>
  <si>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</si>
  <si>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</si>
  <si>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</si>
  <si>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</si>
  <si>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</si>
  <si>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</si>
  <si>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</si>
  <si>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</si>
  <si>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</si>
  <si>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</si>
  <si>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</si>
  <si>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</si>
  <si>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</si>
  <si>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</si>
  <si>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</si>
  <si>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</si>
  <si>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</si>
  <si>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</si>
  <si>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</si>
  <si>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</si>
  <si>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</si>
  <si>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</si>
  <si>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</si>
  <si>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</si>
  <si>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</si>
  <si>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</si>
  <si>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</si>
  <si>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</si>
  <si>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</si>
  <si>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</si>
  <si>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</si>
  <si>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</si>
  <si>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</si>
  <si>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</si>
  <si>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</si>
  <si>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</si>
  <si>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</si>
  <si>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</si>
  <si>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</si>
  <si>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</si>
  <si>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</si>
  <si>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</si>
  <si>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</si>
  <si>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</si>
  <si>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</si>
  <si>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</si>
  <si>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</si>
  <si>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</si>
  <si>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</si>
  <si>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</si>
  <si>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</si>
  <si>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</si>
  <si>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</si>
  <si>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</si>
  <si>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</si>
  <si>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</si>
  <si>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</si>
  <si>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</si>
  <si>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</si>
  <si>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</si>
  <si>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</si>
  <si>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</si>
  <si>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</si>
  <si>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</si>
  <si>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</si>
  <si>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</si>
  <si>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</si>
  <si>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</si>
  <si>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</si>
  <si>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</si>
  <si>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</si>
  <si>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</si>
  <si>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</si>
  <si>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</si>
  <si>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</si>
  <si>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Caixa e equivalentes de caixa no início do período</t>
  </si>
  <si>
    <t>Caixa e equivalentes de caixa no final do período</t>
  </si>
  <si>
    <t>1T22</t>
  </si>
  <si>
    <t>2T22</t>
  </si>
  <si>
    <t>3T22</t>
  </si>
  <si>
    <t>Lucro (Prejuízo) no período</t>
  </si>
  <si>
    <t>4T22</t>
  </si>
  <si>
    <t>1T23</t>
  </si>
  <si>
    <t>2T23</t>
  </si>
  <si>
    <t>31/06/2023</t>
  </si>
  <si>
    <t>31/06/2022</t>
  </si>
  <si>
    <t>Income Statement (R$ thousand)</t>
  </si>
  <si>
    <t>Gross operational revenue</t>
  </si>
  <si>
    <t>Adjustment to present value on revenue</t>
  </si>
  <si>
    <t>Taxes Sales</t>
  </si>
  <si>
    <t>Adjustment to present value on taxes</t>
  </si>
  <si>
    <t>Net operational revenue</t>
  </si>
  <si>
    <t>Gross profit</t>
  </si>
  <si>
    <t>Gross margin</t>
  </si>
  <si>
    <t>Sales expenses</t>
  </si>
  <si>
    <t>Provision of trade receivable</t>
  </si>
  <si>
    <t>Impairment of trade receivable</t>
  </si>
  <si>
    <t xml:space="preserve">% of net revenue </t>
  </si>
  <si>
    <t>Administrative expenses</t>
  </si>
  <si>
    <t xml:space="preserve">Other operational results, net </t>
  </si>
  <si>
    <t>Operational profit</t>
  </si>
  <si>
    <t>Financial expenses</t>
  </si>
  <si>
    <t>Financial income</t>
  </si>
  <si>
    <t xml:space="preserve">Financial result, net </t>
  </si>
  <si>
    <t>Income before income tax and social contributions</t>
  </si>
  <si>
    <t>Current</t>
  </si>
  <si>
    <t>Deferred</t>
  </si>
  <si>
    <t>Income tax and social contributions</t>
  </si>
  <si>
    <t>Net income</t>
  </si>
  <si>
    <t>Net margin</t>
  </si>
  <si>
    <t>Depreciation and amortization</t>
  </si>
  <si>
    <t xml:space="preserve">Financial income without APV </t>
  </si>
  <si>
    <t>Financial income from APV</t>
  </si>
  <si>
    <t>Current taxes</t>
  </si>
  <si>
    <t>Deferred taxes</t>
  </si>
  <si>
    <t>Provision for non-recurring contingencies</t>
  </si>
  <si>
    <t>Other non-recurring</t>
  </si>
  <si>
    <t>Escrow recovery</t>
  </si>
  <si>
    <t>Realization at fair value of Dumont's inventory</t>
  </si>
  <si>
    <t>Other non-cash expenses</t>
  </si>
  <si>
    <t xml:space="preserve">Impact of APV on operational result </t>
  </si>
  <si>
    <t>Extraordinary impacts</t>
  </si>
  <si>
    <t xml:space="preserve">Adjusted EBITDA </t>
  </si>
  <si>
    <t>Ebitda Margin</t>
  </si>
  <si>
    <t>Balance Sheet (R$ thousand)</t>
  </si>
  <si>
    <t>Assets</t>
  </si>
  <si>
    <t>Current assets</t>
  </si>
  <si>
    <t>Cash and cash equivalents</t>
  </si>
  <si>
    <t>Restricted cash</t>
  </si>
  <si>
    <t>Marketable securities</t>
  </si>
  <si>
    <t>Accounts Receivable</t>
  </si>
  <si>
    <t xml:space="preserve">Dividends receivable </t>
  </si>
  <si>
    <t>Inventories</t>
  </si>
  <si>
    <t>IR/CSL recoverable</t>
  </si>
  <si>
    <t xml:space="preserve">Recoverable taxes </t>
  </si>
  <si>
    <t>Derivative financial instruments</t>
  </si>
  <si>
    <t>Other assets</t>
  </si>
  <si>
    <t>Non-current assets held for sale</t>
  </si>
  <si>
    <t xml:space="preserve">Non-current assets </t>
  </si>
  <si>
    <t>Bound deposits</t>
  </si>
  <si>
    <t>Advances to suppliers</t>
  </si>
  <si>
    <t xml:space="preserve">
Marketable securities</t>
  </si>
  <si>
    <t>Judicial deposits</t>
  </si>
  <si>
    <t>Investments</t>
  </si>
  <si>
    <t>Intangible</t>
  </si>
  <si>
    <t>Property and equipment</t>
  </si>
  <si>
    <t>Total assets</t>
  </si>
  <si>
    <t>Equity and liabilities</t>
  </si>
  <si>
    <t>Current liabilities</t>
  </si>
  <si>
    <t>Amount payable for acquisition of preferred shares - FIP</t>
  </si>
  <si>
    <t>Borrowings</t>
  </si>
  <si>
    <t>Suppliers</t>
  </si>
  <si>
    <t>Taxes, rates and social contributions payable</t>
  </si>
  <si>
    <t>Deferred income tax and social contributions</t>
  </si>
  <si>
    <t xml:space="preserve">Amount payable for acquisition of noncontrolling interest </t>
  </si>
  <si>
    <t>Salaries and social charges  payable</t>
  </si>
  <si>
    <t xml:space="preserve">Dividends payable </t>
  </si>
  <si>
    <t>Lease payable</t>
  </si>
  <si>
    <t xml:space="preserve">Other payables </t>
  </si>
  <si>
    <t>Provision for fees</t>
  </si>
  <si>
    <t>Accounts payable - assignment of credit rights</t>
  </si>
  <si>
    <t>Non-current liabilities</t>
  </si>
  <si>
    <t>Provision for contingencies</t>
  </si>
  <si>
    <t xml:space="preserve">Licenses payable </t>
  </si>
  <si>
    <t>Total liabilities</t>
  </si>
  <si>
    <t>Equity attributable to the parent company's owners</t>
  </si>
  <si>
    <t>Capital</t>
  </si>
  <si>
    <t>Treasury Shares</t>
  </si>
  <si>
    <t>Share issuance expenses</t>
  </si>
  <si>
    <t>Capital reserves</t>
  </si>
  <si>
    <t>Revenue reserves</t>
  </si>
  <si>
    <t xml:space="preserve">Carrying value adjustment </t>
  </si>
  <si>
    <t>Proposed additional dividend</t>
  </si>
  <si>
    <t>Reflex tax incentive profit reserve</t>
  </si>
  <si>
    <t>Total equity</t>
  </si>
  <si>
    <t>Total equity and liabilities</t>
  </si>
  <si>
    <t>Cash Fow (R$ thousand)</t>
  </si>
  <si>
    <t xml:space="preserve">Cash flows from operational activities </t>
  </si>
  <si>
    <t xml:space="preserve">Adjustments for items that do not affect cash flow </t>
  </si>
  <si>
    <t>Amortization and depreciation</t>
  </si>
  <si>
    <t>Goodwill amortization</t>
  </si>
  <si>
    <t>Allowance for recoverable value of inventories</t>
  </si>
  <si>
    <t xml:space="preserve">Allowance for recoverable value of accounts receivable </t>
  </si>
  <si>
    <t>Reversal of stock provision</t>
  </si>
  <si>
    <t>Write-off of accounts receivable for foreclosure of guarantees without generation of cash</t>
  </si>
  <si>
    <t>Adjustment to market value in noncurrent assets available for sale</t>
  </si>
  <si>
    <t xml:space="preserve">Allowance for contingencies (reversal) </t>
  </si>
  <si>
    <t>Results from disposal of permanent assets</t>
  </si>
  <si>
    <t>Impairment of permanent assets</t>
  </si>
  <si>
    <t>Provision for impairment of goodwill</t>
  </si>
  <si>
    <t>Interest on loans</t>
  </si>
  <si>
    <t>Other interest expenses and exchange variation</t>
  </si>
  <si>
    <t>Stock option premium</t>
  </si>
  <si>
    <t>Noncontrolling interest</t>
  </si>
  <si>
    <t>Others</t>
  </si>
  <si>
    <t>Changes in assets and liabilities</t>
  </si>
  <si>
    <t xml:space="preserve">Decrease (increase) in marketable securities </t>
  </si>
  <si>
    <t xml:space="preserve">Decrease (increase) in accounts receivable </t>
  </si>
  <si>
    <t>Decrease (increase) in inventories</t>
  </si>
  <si>
    <t xml:space="preserve">Decrease (increase) in recoverable taxes  </t>
  </si>
  <si>
    <t xml:space="preserve">Decrease (increase) in other assets </t>
  </si>
  <si>
    <t xml:space="preserve">Increase (decrease) in suppliers and accounts payable </t>
  </si>
  <si>
    <t xml:space="preserve">Increase (decrease) in salaries and social charges payable </t>
  </si>
  <si>
    <t xml:space="preserve">Increase (decrease) in taxes, rates and social contributions payable </t>
  </si>
  <si>
    <t>Interest paid</t>
  </si>
  <si>
    <t>Income tax and social contributions paid</t>
  </si>
  <si>
    <t xml:space="preserve">Net cash (applied in) generated by operational activities </t>
  </si>
  <si>
    <t>Cash flow from investment activities</t>
  </si>
  <si>
    <t>Reversal of goodwill from acquisition of equity interest</t>
  </si>
  <si>
    <t>Acquisition of noncontrolling interest</t>
  </si>
  <si>
    <t xml:space="preserve">Acquisition of equity interest </t>
  </si>
  <si>
    <t>Restrict Cash</t>
  </si>
  <si>
    <t>Purchases of fixed assets</t>
  </si>
  <si>
    <t xml:space="preserve">Amount received from the sale of fixed assets </t>
  </si>
  <si>
    <t>Purchases of intangible assets</t>
  </si>
  <si>
    <t xml:space="preserve">Indemnities received </t>
  </si>
  <si>
    <t>Net cash (applied in) generated by investment activities</t>
  </si>
  <si>
    <t xml:space="preserve">Cash flow from financial activities </t>
  </si>
  <si>
    <t>Acquistion of shares held in treasury</t>
  </si>
  <si>
    <t>Payment of Capital</t>
  </si>
  <si>
    <t xml:space="preserve">Expenses from issuance of shares payable </t>
  </si>
  <si>
    <t>Dividends paid to Company shareholders</t>
  </si>
  <si>
    <t>Payment of borrowings</t>
  </si>
  <si>
    <t>Lease contracted</t>
  </si>
  <si>
    <t>Lease paid</t>
  </si>
  <si>
    <t xml:space="preserve">Dividends paid to noncontrolling shareholders </t>
  </si>
  <si>
    <t xml:space="preserve">Net cash applied in financial activities </t>
  </si>
  <si>
    <t>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</si>
</sst>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29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69" fontId="5" fillId="3" borderId="13" xfId="1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  <xf numFmtId="0" fontId="2" fillId="2" borderId="21" xfId="0" applyFont="1" applyFill="1" applyBorder="1" applyAlignment="1"/>
    <xf numFmtId="0" fontId="2" fillId="2" borderId="1" xfId="0" applyFont="1" applyFill="1" applyBorder="1" applyAlignment="1"/>
    <xf numFmtId="0" fontId="3" fillId="3" borderId="2" xfId="0" applyFont="1" applyFill="1" applyBorder="1" applyAlignment="1"/>
    <xf numFmtId="0" fontId="3" fillId="3" borderId="15" xfId="0" applyFont="1" applyFill="1" applyBorder="1" applyAlignment="1"/>
    <xf numFmtId="0" fontId="3" fillId="3" borderId="5" xfId="0" applyFont="1" applyFill="1" applyBorder="1" applyAlignment="1"/>
    <xf numFmtId="0" fontId="3" fillId="3" borderId="4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5" fillId="3" borderId="5" xfId="0" applyFont="1" applyFill="1" applyBorder="1" applyAlignment="1"/>
    <xf numFmtId="0" fontId="6" fillId="3" borderId="5" xfId="0" applyFont="1" applyFill="1" applyBorder="1" applyAlignment="1"/>
    <xf numFmtId="0" fontId="6" fillId="3" borderId="3" xfId="0" applyFont="1" applyFill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0" xfId="0" applyFont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35</xdr:col>
      <xdr:colOff>444500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2234332" cy="1165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3174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2944928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16</xdr:col>
      <xdr:colOff>452486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3841716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5"/>
  <cols>
    <col min="1" max="1" width="43.5703125" bestFit="1" customWidth="1"/>
    <col min="2" max="2" width="1.85546875" customWidth="1"/>
    <col min="3" max="3" width="14.140625" bestFit="1" customWidth="1"/>
    <col min="4" max="4" width="1.140625" customWidth="1"/>
    <col min="5" max="5" width="14.85546875" customWidth="1"/>
    <col min="6" max="6" width="5.42578125" bestFit="1" customWidth="1"/>
    <col min="7" max="7" width="13.85546875" customWidth="1"/>
    <col min="8" max="8" width="2.5703125" customWidth="1"/>
    <col min="9" max="9" width="10.5703125" customWidth="1"/>
    <col min="10" max="10" width="11.140625" customWidth="1"/>
    <col min="11" max="11" width="47.42578125" bestFit="1" customWidth="1"/>
    <col min="12" max="12" width="13.85546875" bestFit="1" customWidth="1"/>
    <col min="13" max="13" width="2.140625" customWidth="1"/>
    <col min="14" max="14" width="11.140625" bestFit="1" customWidth="1"/>
    <col min="15" max="15" width="2" customWidth="1"/>
    <col min="16" max="16" width="13.85546875" bestFit="1" customWidth="1"/>
    <col min="17" max="17" width="1.85546875" customWidth="1"/>
    <col min="18" max="18" width="11.140625" bestFit="1" customWidth="1"/>
    <col min="19" max="19" width="13.140625" customWidth="1"/>
  </cols>
  <sheetData>
    <row r="1" spans="1:23" ht="15.75" thickBot="1">
      <c r="A1" s="206"/>
      <c r="B1" s="206"/>
      <c r="C1" s="404" t="s">
        <v>263</v>
      </c>
      <c r="D1" s="404"/>
      <c r="E1" s="404"/>
      <c r="F1" s="206"/>
      <c r="G1" s="404" t="s">
        <v>264</v>
      </c>
      <c r="H1" s="404"/>
      <c r="I1" s="404"/>
      <c r="J1" s="54"/>
      <c r="K1" s="206"/>
      <c r="L1" s="404" t="s">
        <v>263</v>
      </c>
      <c r="M1" s="404"/>
      <c r="N1" s="404"/>
      <c r="O1" s="206"/>
      <c r="P1" s="404" t="s">
        <v>264</v>
      </c>
      <c r="Q1" s="404"/>
      <c r="R1" s="404"/>
      <c r="S1" s="207"/>
    </row>
    <row r="2" spans="1:23">
      <c r="A2" s="206"/>
      <c r="B2" s="206"/>
      <c r="C2" s="206"/>
      <c r="D2" s="211"/>
      <c r="E2" s="206"/>
      <c r="F2" s="206"/>
      <c r="G2" s="206"/>
      <c r="H2" s="211"/>
      <c r="I2" s="206"/>
      <c r="J2" s="54"/>
      <c r="K2" s="206"/>
      <c r="L2" s="206"/>
      <c r="M2" s="206"/>
      <c r="N2" s="206"/>
      <c r="O2" s="206"/>
      <c r="P2" s="206"/>
      <c r="Q2" s="227"/>
      <c r="R2" s="206"/>
      <c r="S2" s="227"/>
    </row>
    <row r="3" spans="1:23" ht="15" customHeight="1">
      <c r="A3" s="405" t="s">
        <v>29</v>
      </c>
      <c r="B3" s="400"/>
      <c r="C3" s="282" t="s">
        <v>399</v>
      </c>
      <c r="D3" s="400"/>
      <c r="E3" s="401" t="s">
        <v>291</v>
      </c>
      <c r="F3" s="400"/>
      <c r="G3" s="282" t="s">
        <v>399</v>
      </c>
      <c r="H3" s="400"/>
      <c r="I3" s="401" t="s">
        <v>291</v>
      </c>
      <c r="J3" s="406"/>
      <c r="K3" s="405" t="s">
        <v>38</v>
      </c>
      <c r="L3" s="282" t="s">
        <v>290</v>
      </c>
      <c r="M3" s="400"/>
      <c r="N3" s="401" t="s">
        <v>291</v>
      </c>
      <c r="O3" s="400"/>
      <c r="P3" s="282" t="s">
        <v>290</v>
      </c>
      <c r="Q3" s="400"/>
      <c r="R3" s="401" t="s">
        <v>291</v>
      </c>
      <c r="S3" s="403"/>
    </row>
    <row r="4" spans="1:23" ht="21" customHeight="1" thickBot="1">
      <c r="A4" s="405"/>
      <c r="B4" s="400"/>
      <c r="C4" s="283" t="s">
        <v>292</v>
      </c>
      <c r="D4" s="400"/>
      <c r="E4" s="402"/>
      <c r="F4" s="400"/>
      <c r="G4" s="283" t="s">
        <v>292</v>
      </c>
      <c r="H4" s="400"/>
      <c r="I4" s="402"/>
      <c r="J4" s="406"/>
      <c r="K4" s="405"/>
      <c r="L4" s="283" t="s">
        <v>292</v>
      </c>
      <c r="M4" s="400"/>
      <c r="N4" s="402"/>
      <c r="O4" s="400"/>
      <c r="P4" s="283" t="s">
        <v>292</v>
      </c>
      <c r="Q4" s="400"/>
      <c r="R4" s="402"/>
      <c r="S4" s="403"/>
    </row>
    <row r="5" spans="1:23">
      <c r="A5" s="206"/>
      <c r="B5" s="206"/>
      <c r="C5" s="206"/>
      <c r="D5" s="206"/>
      <c r="E5" s="206"/>
      <c r="F5" s="206"/>
      <c r="G5" s="206"/>
      <c r="H5" s="206"/>
      <c r="I5" s="206"/>
      <c r="J5" s="54"/>
      <c r="K5" s="206"/>
      <c r="L5" s="206"/>
      <c r="M5" s="206"/>
      <c r="N5" s="206"/>
      <c r="O5" s="206"/>
      <c r="P5" s="206"/>
      <c r="Q5" s="54"/>
      <c r="R5" s="206"/>
      <c r="S5" s="227"/>
    </row>
    <row r="6" spans="1:23">
      <c r="A6" s="206"/>
      <c r="B6" s="206"/>
      <c r="C6" s="206"/>
      <c r="D6" s="206"/>
      <c r="E6" s="206"/>
      <c r="F6" s="206"/>
      <c r="G6" s="206"/>
      <c r="H6" s="206"/>
      <c r="I6" s="206"/>
      <c r="J6" s="54"/>
      <c r="K6" s="206"/>
      <c r="L6" s="206"/>
      <c r="M6" s="206"/>
      <c r="N6" s="206"/>
      <c r="O6" s="206"/>
      <c r="P6" s="206"/>
      <c r="Q6" s="54"/>
      <c r="R6" s="206"/>
      <c r="S6" s="227"/>
    </row>
    <row r="7" spans="1:23">
      <c r="A7" s="211" t="s">
        <v>30</v>
      </c>
      <c r="B7" s="206"/>
      <c r="C7" s="206"/>
      <c r="D7" s="206"/>
      <c r="E7" s="206"/>
      <c r="F7" s="206"/>
      <c r="G7" s="206"/>
      <c r="H7" s="206"/>
      <c r="I7" s="206"/>
      <c r="J7" s="54"/>
      <c r="K7" s="211" t="s">
        <v>30</v>
      </c>
      <c r="L7" s="206"/>
      <c r="M7" s="206"/>
      <c r="N7" s="206"/>
      <c r="O7" s="206"/>
      <c r="P7" s="206"/>
      <c r="Q7" s="54"/>
      <c r="R7" s="206"/>
      <c r="S7" s="227"/>
    </row>
    <row r="8" spans="1:23">
      <c r="A8" s="211" t="s">
        <v>293</v>
      </c>
      <c r="B8" s="206"/>
      <c r="C8" s="284">
        <v>65</v>
      </c>
      <c r="D8" s="206"/>
      <c r="E8" s="284">
        <v>61</v>
      </c>
      <c r="F8" s="296">
        <v>-4</v>
      </c>
      <c r="G8" s="300">
        <v>27648</v>
      </c>
      <c r="H8" s="206"/>
      <c r="I8" s="284">
        <v>46343</v>
      </c>
      <c r="J8" s="298">
        <v>16954</v>
      </c>
      <c r="K8" s="211" t="s">
        <v>294</v>
      </c>
      <c r="L8" s="285"/>
      <c r="M8" s="211"/>
      <c r="N8" s="286"/>
      <c r="O8" s="297">
        <v>0</v>
      </c>
      <c r="P8" s="301">
        <v>36273</v>
      </c>
      <c r="Q8" s="54"/>
      <c r="R8" s="284">
        <v>84665</v>
      </c>
      <c r="S8" s="297">
        <v>-48392</v>
      </c>
      <c r="U8" s="299">
        <v>48392</v>
      </c>
    </row>
    <row r="9" spans="1:23">
      <c r="A9" s="211" t="s">
        <v>295</v>
      </c>
      <c r="B9" s="206"/>
      <c r="C9" s="285"/>
      <c r="D9" s="206"/>
      <c r="E9" s="285"/>
      <c r="F9" s="296">
        <v>0</v>
      </c>
      <c r="G9" s="301">
        <v>185761</v>
      </c>
      <c r="H9" s="206"/>
      <c r="I9" s="284">
        <v>232036</v>
      </c>
      <c r="J9" s="298">
        <v>48016</v>
      </c>
      <c r="K9" s="211" t="s">
        <v>39</v>
      </c>
      <c r="L9" s="285">
        <v>16</v>
      </c>
      <c r="M9" s="211"/>
      <c r="N9" s="285">
        <v>13</v>
      </c>
      <c r="O9" s="297">
        <v>3</v>
      </c>
      <c r="P9" s="301">
        <v>17132</v>
      </c>
      <c r="Q9" s="54"/>
      <c r="R9" s="284">
        <v>13890</v>
      </c>
      <c r="S9" s="297">
        <v>3242</v>
      </c>
    </row>
    <row r="10" spans="1:23">
      <c r="A10" s="211" t="s">
        <v>31</v>
      </c>
      <c r="B10" s="206"/>
      <c r="C10" s="284">
        <v>4850</v>
      </c>
      <c r="D10" s="206"/>
      <c r="E10" s="284">
        <v>14471</v>
      </c>
      <c r="F10" s="296">
        <v>9621</v>
      </c>
      <c r="G10" s="284"/>
      <c r="H10" s="206"/>
      <c r="I10" s="284"/>
      <c r="J10" s="298">
        <v>0</v>
      </c>
      <c r="K10" s="211" t="s">
        <v>40</v>
      </c>
      <c r="L10" s="285">
        <v>8</v>
      </c>
      <c r="M10" s="211"/>
      <c r="N10" s="285">
        <v>9</v>
      </c>
      <c r="O10" s="297">
        <v>-1</v>
      </c>
      <c r="P10" s="301">
        <v>6550</v>
      </c>
      <c r="Q10" s="54"/>
      <c r="R10" s="284">
        <v>8107</v>
      </c>
      <c r="S10" s="297">
        <v>-1557</v>
      </c>
    </row>
    <row r="11" spans="1:23">
      <c r="A11" s="211" t="s">
        <v>296</v>
      </c>
      <c r="B11" s="206"/>
      <c r="C11" s="285"/>
      <c r="D11" s="206"/>
      <c r="E11" s="285">
        <v>0</v>
      </c>
      <c r="F11" s="296">
        <v>0</v>
      </c>
      <c r="G11" s="301">
        <v>176461</v>
      </c>
      <c r="H11" s="206"/>
      <c r="I11" s="284">
        <v>162775</v>
      </c>
      <c r="J11" s="298">
        <v>-13686</v>
      </c>
      <c r="K11" s="211" t="s">
        <v>41</v>
      </c>
      <c r="L11" s="285">
        <v>15</v>
      </c>
      <c r="M11" s="211"/>
      <c r="N11" s="285">
        <v>8</v>
      </c>
      <c r="O11" s="297">
        <v>7</v>
      </c>
      <c r="P11" s="301">
        <v>10948</v>
      </c>
      <c r="Q11" s="54"/>
      <c r="R11" s="284">
        <v>11795</v>
      </c>
      <c r="S11" s="297">
        <v>-847</v>
      </c>
    </row>
    <row r="12" spans="1:23">
      <c r="A12" s="211" t="s">
        <v>32</v>
      </c>
      <c r="B12" s="206"/>
      <c r="C12" s="295">
        <v>1098</v>
      </c>
      <c r="D12" s="206"/>
      <c r="E12" s="295">
        <v>1052</v>
      </c>
      <c r="F12" s="296">
        <v>-46</v>
      </c>
      <c r="G12" s="301">
        <v>17594</v>
      </c>
      <c r="H12" s="206"/>
      <c r="I12" s="284">
        <v>13369</v>
      </c>
      <c r="J12" s="298">
        <v>-4225</v>
      </c>
      <c r="K12" s="211" t="s">
        <v>297</v>
      </c>
      <c r="L12" s="284">
        <v>29</v>
      </c>
      <c r="M12" s="211"/>
      <c r="N12" s="284">
        <v>5366</v>
      </c>
      <c r="O12" s="297">
        <v>-5337</v>
      </c>
      <c r="P12" s="301">
        <v>1438</v>
      </c>
      <c r="Q12" s="54"/>
      <c r="R12" s="284">
        <v>6775</v>
      </c>
      <c r="S12" s="297">
        <v>-5337</v>
      </c>
      <c r="T12">
        <v>2618</v>
      </c>
      <c r="U12" s="299">
        <v>-7955</v>
      </c>
      <c r="V12">
        <v>15036</v>
      </c>
      <c r="W12" s="299">
        <v>13598</v>
      </c>
    </row>
    <row r="13" spans="1:23">
      <c r="A13" s="211" t="s">
        <v>298</v>
      </c>
      <c r="B13" s="206"/>
      <c r="C13" s="284">
        <v>1757</v>
      </c>
      <c r="D13" s="206"/>
      <c r="E13" s="284">
        <v>2375</v>
      </c>
      <c r="F13" s="296">
        <v>618</v>
      </c>
      <c r="G13" s="301">
        <v>29028</v>
      </c>
      <c r="H13" s="206"/>
      <c r="I13" s="284">
        <v>26467</v>
      </c>
      <c r="J13" s="298">
        <v>-2561</v>
      </c>
      <c r="K13" s="211" t="s">
        <v>42</v>
      </c>
      <c r="L13" s="285"/>
      <c r="M13" s="211"/>
      <c r="N13" s="285"/>
      <c r="O13" s="297">
        <v>0</v>
      </c>
      <c r="P13" s="303">
        <v>243</v>
      </c>
      <c r="Q13" s="54"/>
      <c r="R13" s="295">
        <v>406</v>
      </c>
      <c r="S13" s="297">
        <v>-163</v>
      </c>
    </row>
    <row r="14" spans="1:23" ht="15.75" thickBot="1">
      <c r="A14" s="206"/>
      <c r="B14" s="206"/>
      <c r="C14" s="285"/>
      <c r="D14" s="206"/>
      <c r="E14" s="206"/>
      <c r="F14" s="296">
        <v>0</v>
      </c>
      <c r="G14" s="285"/>
      <c r="H14" s="206"/>
      <c r="I14" s="206"/>
      <c r="J14" s="298">
        <v>0</v>
      </c>
      <c r="K14" s="211" t="s">
        <v>43</v>
      </c>
      <c r="L14" s="287">
        <v>7</v>
      </c>
      <c r="M14" s="211"/>
      <c r="N14" s="287">
        <v>6</v>
      </c>
      <c r="O14" s="297">
        <v>1</v>
      </c>
      <c r="P14" s="304">
        <v>6922</v>
      </c>
      <c r="Q14" s="54"/>
      <c r="R14" s="289">
        <v>6835</v>
      </c>
      <c r="S14" s="297">
        <v>87</v>
      </c>
    </row>
    <row r="15" spans="1:23" ht="15.75" thickBot="1">
      <c r="A15" s="206"/>
      <c r="B15" s="206"/>
      <c r="C15" s="287"/>
      <c r="D15" s="206"/>
      <c r="E15" s="291"/>
      <c r="F15" s="296">
        <v>0</v>
      </c>
      <c r="G15" s="287"/>
      <c r="H15" s="206"/>
      <c r="I15" s="291"/>
      <c r="J15" s="298">
        <v>0</v>
      </c>
      <c r="K15" s="206"/>
      <c r="L15" s="285"/>
      <c r="M15" s="211"/>
      <c r="N15" s="285"/>
      <c r="O15" s="297">
        <v>0</v>
      </c>
      <c r="P15" s="285"/>
      <c r="Q15" s="54"/>
      <c r="R15" s="285"/>
      <c r="S15" s="297">
        <v>0</v>
      </c>
    </row>
    <row r="16" spans="1:23" ht="15.75" thickBot="1">
      <c r="A16" s="206"/>
      <c r="B16" s="206"/>
      <c r="C16" s="285"/>
      <c r="D16" s="206"/>
      <c r="E16" s="206"/>
      <c r="F16" s="296">
        <v>0</v>
      </c>
      <c r="G16" s="285"/>
      <c r="H16" s="206"/>
      <c r="I16" s="206"/>
      <c r="J16" s="298">
        <v>0</v>
      </c>
      <c r="K16" s="206"/>
      <c r="L16" s="289">
        <v>75</v>
      </c>
      <c r="M16" s="211"/>
      <c r="N16" s="289">
        <v>5402</v>
      </c>
      <c r="O16" s="297">
        <v>-5327</v>
      </c>
      <c r="P16" s="289">
        <v>79506</v>
      </c>
      <c r="Q16" s="54"/>
      <c r="R16" s="289">
        <v>132473</v>
      </c>
      <c r="S16" s="297">
        <v>-52967</v>
      </c>
    </row>
    <row r="17" spans="1:21" ht="15.75" thickBot="1">
      <c r="A17" s="206"/>
      <c r="B17" s="206"/>
      <c r="C17" s="289">
        <v>7770</v>
      </c>
      <c r="D17" s="206"/>
      <c r="E17" s="289">
        <v>17959</v>
      </c>
      <c r="F17" s="296">
        <v>10189</v>
      </c>
      <c r="G17" s="289">
        <v>436492</v>
      </c>
      <c r="H17" s="206"/>
      <c r="I17" s="289">
        <v>480990</v>
      </c>
      <c r="J17" s="298">
        <v>44498</v>
      </c>
      <c r="K17" s="206"/>
      <c r="L17" s="285"/>
      <c r="M17" s="211"/>
      <c r="N17" s="285"/>
      <c r="O17" s="297">
        <v>0</v>
      </c>
      <c r="P17" s="285"/>
      <c r="Q17" s="54"/>
      <c r="R17" s="285"/>
      <c r="S17" s="297">
        <v>0</v>
      </c>
    </row>
    <row r="18" spans="1:21">
      <c r="A18" s="206"/>
      <c r="B18" s="206"/>
      <c r="C18" s="285"/>
      <c r="D18" s="206"/>
      <c r="E18" s="206"/>
      <c r="F18" s="296">
        <v>0</v>
      </c>
      <c r="G18" s="285"/>
      <c r="H18" s="206"/>
      <c r="I18" s="206"/>
      <c r="J18" s="298">
        <v>0</v>
      </c>
      <c r="K18" s="211" t="s">
        <v>34</v>
      </c>
      <c r="L18" s="285"/>
      <c r="M18" s="211"/>
      <c r="N18" s="285"/>
      <c r="O18" s="297">
        <v>0</v>
      </c>
      <c r="P18" s="285"/>
      <c r="Q18" s="54"/>
      <c r="R18" s="285"/>
      <c r="S18" s="297">
        <v>0</v>
      </c>
    </row>
    <row r="19" spans="1:21" ht="15.75" thickBot="1">
      <c r="A19" s="211" t="s">
        <v>299</v>
      </c>
      <c r="B19" s="206"/>
      <c r="C19" s="287"/>
      <c r="D19" s="206"/>
      <c r="E19" s="291"/>
      <c r="F19" s="296">
        <v>0</v>
      </c>
      <c r="G19" s="287"/>
      <c r="H19" s="206"/>
      <c r="I19" s="287"/>
      <c r="J19" s="298">
        <v>0</v>
      </c>
      <c r="K19" s="211" t="s">
        <v>294</v>
      </c>
      <c r="L19" s="285"/>
      <c r="M19" s="211"/>
      <c r="N19" s="285"/>
      <c r="O19" s="297">
        <v>0</v>
      </c>
      <c r="P19" s="303">
        <v>155132</v>
      </c>
      <c r="Q19" s="54"/>
      <c r="R19" s="295">
        <v>155128</v>
      </c>
      <c r="S19" s="297">
        <v>4</v>
      </c>
    </row>
    <row r="20" spans="1:21">
      <c r="A20" s="206"/>
      <c r="B20" s="206"/>
      <c r="C20" s="285"/>
      <c r="D20" s="206"/>
      <c r="E20" s="206"/>
      <c r="F20" s="296">
        <v>0</v>
      </c>
      <c r="G20" s="285"/>
      <c r="H20" s="206"/>
      <c r="I20" s="206"/>
      <c r="J20" s="298">
        <v>0</v>
      </c>
      <c r="K20" s="211" t="s">
        <v>300</v>
      </c>
      <c r="L20" s="285"/>
      <c r="M20" s="211"/>
      <c r="N20" s="285"/>
      <c r="O20" s="297">
        <v>0</v>
      </c>
      <c r="P20" s="301">
        <v>50783</v>
      </c>
      <c r="Q20" s="54"/>
      <c r="R20" s="284">
        <v>49640</v>
      </c>
      <c r="S20" s="297">
        <v>1143</v>
      </c>
      <c r="T20" s="299"/>
    </row>
    <row r="21" spans="1:21" ht="15.75" thickBot="1">
      <c r="A21" s="206"/>
      <c r="B21" s="206"/>
      <c r="C21" s="289">
        <v>7770</v>
      </c>
      <c r="D21" s="206"/>
      <c r="E21" s="289">
        <v>17959</v>
      </c>
      <c r="F21" s="296">
        <v>10189</v>
      </c>
      <c r="G21" s="289">
        <v>436492</v>
      </c>
      <c r="H21" s="206"/>
      <c r="I21" s="289">
        <v>480990</v>
      </c>
      <c r="J21" s="298">
        <v>44498</v>
      </c>
      <c r="K21" s="211" t="s">
        <v>301</v>
      </c>
      <c r="L21" s="285"/>
      <c r="M21" s="211"/>
      <c r="N21" s="285"/>
      <c r="O21" s="297">
        <v>0</v>
      </c>
      <c r="P21" s="301">
        <v>28921</v>
      </c>
      <c r="Q21" s="54"/>
      <c r="R21" s="284">
        <v>27714</v>
      </c>
      <c r="S21" s="297">
        <v>1207</v>
      </c>
    </row>
    <row r="22" spans="1:21">
      <c r="A22" s="211"/>
      <c r="B22" s="211"/>
      <c r="C22" s="285"/>
      <c r="D22" s="211"/>
      <c r="E22" s="285"/>
      <c r="F22" s="296">
        <v>0</v>
      </c>
      <c r="G22" s="285"/>
      <c r="H22" s="211"/>
      <c r="I22" s="285"/>
      <c r="J22" s="298">
        <v>0</v>
      </c>
      <c r="K22" s="211" t="s">
        <v>42</v>
      </c>
      <c r="L22" s="285"/>
      <c r="M22" s="211"/>
      <c r="N22" s="285"/>
      <c r="O22" s="297">
        <v>0</v>
      </c>
      <c r="P22" s="305">
        <v>320</v>
      </c>
      <c r="Q22" s="54"/>
      <c r="R22" s="285">
        <v>560</v>
      </c>
      <c r="S22" s="297">
        <v>-240</v>
      </c>
    </row>
    <row r="23" spans="1:21">
      <c r="A23" s="206"/>
      <c r="B23" s="206"/>
      <c r="C23" s="206"/>
      <c r="D23" s="206"/>
      <c r="E23" s="206"/>
      <c r="F23" s="296">
        <v>0</v>
      </c>
      <c r="G23" s="206"/>
      <c r="H23" s="206"/>
      <c r="I23" s="206"/>
      <c r="J23" s="298">
        <v>0</v>
      </c>
      <c r="K23" s="211" t="s">
        <v>302</v>
      </c>
      <c r="L23" s="285"/>
      <c r="M23" s="211"/>
      <c r="N23" s="285"/>
      <c r="O23" s="297">
        <v>0</v>
      </c>
      <c r="P23" s="301">
        <v>24804</v>
      </c>
      <c r="Q23" s="227"/>
      <c r="R23" s="284">
        <v>24954</v>
      </c>
      <c r="S23" s="297">
        <v>-150</v>
      </c>
    </row>
    <row r="24" spans="1:21" ht="15.75" thickBot="1">
      <c r="A24" s="211" t="s">
        <v>34</v>
      </c>
      <c r="B24" s="206"/>
      <c r="C24" s="206"/>
      <c r="D24" s="206"/>
      <c r="E24" s="206"/>
      <c r="F24" s="296">
        <v>0</v>
      </c>
      <c r="G24" s="206"/>
      <c r="H24" s="206"/>
      <c r="I24" s="206"/>
      <c r="J24" s="298">
        <v>0</v>
      </c>
      <c r="K24" s="211" t="s">
        <v>43</v>
      </c>
      <c r="L24" s="287"/>
      <c r="M24" s="211"/>
      <c r="N24" s="287"/>
      <c r="O24" s="297">
        <v>0</v>
      </c>
      <c r="P24" s="304">
        <v>2132</v>
      </c>
      <c r="Q24" s="54"/>
      <c r="R24" s="289">
        <v>2132</v>
      </c>
      <c r="S24" s="297">
        <v>0</v>
      </c>
      <c r="T24" s="299"/>
      <c r="U24" t="s">
        <v>303</v>
      </c>
    </row>
    <row r="25" spans="1:21">
      <c r="A25" s="211" t="s">
        <v>35</v>
      </c>
      <c r="B25" s="206"/>
      <c r="C25" s="206"/>
      <c r="D25" s="206"/>
      <c r="E25" s="206"/>
      <c r="F25" s="296">
        <v>0</v>
      </c>
      <c r="G25" s="206"/>
      <c r="H25" s="206"/>
      <c r="I25" s="206"/>
      <c r="J25" s="298">
        <v>0</v>
      </c>
      <c r="K25" s="206"/>
      <c r="L25" s="285"/>
      <c r="M25" s="211"/>
      <c r="N25" s="285"/>
      <c r="O25" s="297">
        <v>0</v>
      </c>
      <c r="P25" s="285"/>
      <c r="Q25" s="54"/>
      <c r="R25" s="285"/>
      <c r="S25" s="297">
        <v>0</v>
      </c>
    </row>
    <row r="26" spans="1:21" ht="15.75" thickBot="1">
      <c r="A26" s="211" t="s">
        <v>304</v>
      </c>
      <c r="B26" s="206"/>
      <c r="C26" s="206"/>
      <c r="D26" s="206"/>
      <c r="E26" s="206"/>
      <c r="F26" s="296">
        <v>0</v>
      </c>
      <c r="G26" s="301">
        <v>8437</v>
      </c>
      <c r="H26" s="206"/>
      <c r="I26" s="284">
        <v>8812</v>
      </c>
      <c r="J26" s="298">
        <v>375</v>
      </c>
      <c r="K26" s="206"/>
      <c r="L26" s="290">
        <v>0</v>
      </c>
      <c r="M26" s="211"/>
      <c r="N26" s="290">
        <v>0</v>
      </c>
      <c r="O26" s="297">
        <v>0</v>
      </c>
      <c r="P26" s="290">
        <v>262092</v>
      </c>
      <c r="Q26" s="54"/>
      <c r="R26" s="290">
        <v>260128</v>
      </c>
      <c r="S26" s="297">
        <v>1964</v>
      </c>
    </row>
    <row r="27" spans="1:21" ht="15.75" thickBot="1">
      <c r="A27" s="211" t="s">
        <v>32</v>
      </c>
      <c r="B27" s="206"/>
      <c r="C27" s="206"/>
      <c r="D27" s="206"/>
      <c r="E27" s="206"/>
      <c r="F27" s="296">
        <v>0</v>
      </c>
      <c r="G27" s="301">
        <v>4571</v>
      </c>
      <c r="H27" s="206"/>
      <c r="I27" s="284">
        <v>4570</v>
      </c>
      <c r="J27" s="298">
        <v>-1</v>
      </c>
      <c r="K27" s="206"/>
      <c r="L27" s="289">
        <v>75</v>
      </c>
      <c r="M27" s="211"/>
      <c r="N27" s="289">
        <v>5402</v>
      </c>
      <c r="O27" s="297">
        <v>-5327</v>
      </c>
      <c r="P27" s="289">
        <v>341598</v>
      </c>
      <c r="Q27" s="54"/>
      <c r="R27" s="289">
        <v>392601</v>
      </c>
      <c r="S27" s="297">
        <v>-51003</v>
      </c>
    </row>
    <row r="28" spans="1:21">
      <c r="A28" s="211" t="s">
        <v>400</v>
      </c>
      <c r="B28" s="206"/>
      <c r="C28" s="206"/>
      <c r="D28" s="206"/>
      <c r="E28" s="206"/>
      <c r="F28" s="296"/>
      <c r="G28" s="301">
        <v>7617</v>
      </c>
      <c r="H28" s="206"/>
      <c r="I28" s="284">
        <v>6664</v>
      </c>
      <c r="J28" s="298"/>
      <c r="K28" s="206"/>
      <c r="L28" s="284"/>
      <c r="M28" s="211"/>
      <c r="N28" s="284"/>
      <c r="O28" s="297"/>
      <c r="P28" s="284"/>
      <c r="Q28" s="54"/>
      <c r="R28" s="284"/>
      <c r="S28" s="297"/>
    </row>
    <row r="29" spans="1:21">
      <c r="A29" s="211" t="s">
        <v>305</v>
      </c>
      <c r="B29" s="206"/>
      <c r="C29" s="206"/>
      <c r="D29" s="206"/>
      <c r="E29" s="206"/>
      <c r="F29" s="296">
        <v>0</v>
      </c>
      <c r="G29" s="301">
        <v>24804</v>
      </c>
      <c r="H29" s="206"/>
      <c r="I29" s="284">
        <v>25574</v>
      </c>
      <c r="J29" s="298">
        <v>770</v>
      </c>
      <c r="K29" s="206"/>
      <c r="L29" s="285"/>
      <c r="M29" s="211"/>
      <c r="N29" s="285"/>
      <c r="O29" s="297">
        <v>0</v>
      </c>
      <c r="P29" s="285"/>
      <c r="Q29" s="54"/>
      <c r="R29" s="285"/>
      <c r="S29" s="297">
        <v>0</v>
      </c>
    </row>
    <row r="30" spans="1:21">
      <c r="A30" s="211" t="s">
        <v>36</v>
      </c>
      <c r="B30" s="206"/>
      <c r="C30" s="206"/>
      <c r="D30" s="206"/>
      <c r="E30" s="206"/>
      <c r="F30" s="296">
        <v>0</v>
      </c>
      <c r="G30" s="301">
        <v>2069</v>
      </c>
      <c r="H30" s="206"/>
      <c r="I30" s="284">
        <v>2116</v>
      </c>
      <c r="J30" s="298">
        <v>47</v>
      </c>
      <c r="K30" s="211" t="s">
        <v>306</v>
      </c>
      <c r="L30" s="285"/>
      <c r="M30" s="211"/>
      <c r="N30" s="285"/>
      <c r="O30" s="297">
        <v>0</v>
      </c>
      <c r="P30" s="285"/>
      <c r="Q30" s="54"/>
      <c r="R30" s="285"/>
      <c r="S30" s="297">
        <v>0</v>
      </c>
    </row>
    <row r="31" spans="1:21" ht="15.75" thickBot="1">
      <c r="A31" s="211" t="s">
        <v>33</v>
      </c>
      <c r="B31" s="206"/>
      <c r="C31" s="291"/>
      <c r="D31" s="206"/>
      <c r="E31" s="291"/>
      <c r="F31" s="296">
        <v>0</v>
      </c>
      <c r="G31" s="302">
        <v>360</v>
      </c>
      <c r="H31" s="206"/>
      <c r="I31" s="287">
        <v>114</v>
      </c>
      <c r="J31" s="298">
        <v>-246</v>
      </c>
      <c r="K31" s="211" t="s">
        <v>307</v>
      </c>
      <c r="L31" s="285"/>
      <c r="M31" s="211"/>
      <c r="N31" s="285"/>
      <c r="O31" s="297">
        <v>0</v>
      </c>
      <c r="P31" s="285"/>
      <c r="Q31" s="54"/>
      <c r="R31" s="285"/>
      <c r="S31" s="297">
        <v>0</v>
      </c>
    </row>
    <row r="32" spans="1:21">
      <c r="A32" s="206"/>
      <c r="B32" s="206"/>
      <c r="C32" s="206"/>
      <c r="D32" s="206"/>
      <c r="E32" s="206"/>
      <c r="F32" s="296">
        <v>0</v>
      </c>
      <c r="G32" s="285"/>
      <c r="H32" s="206"/>
      <c r="I32" s="206"/>
      <c r="J32" s="298">
        <v>0</v>
      </c>
      <c r="K32" s="211" t="s">
        <v>45</v>
      </c>
      <c r="L32" s="217">
        <v>129393</v>
      </c>
      <c r="M32" s="217"/>
      <c r="N32" s="217">
        <v>127000</v>
      </c>
      <c r="O32" s="297">
        <v>2393</v>
      </c>
      <c r="P32" s="217">
        <v>129393</v>
      </c>
      <c r="Q32" s="217"/>
      <c r="R32" s="217">
        <v>127000</v>
      </c>
      <c r="S32" s="297">
        <v>2393</v>
      </c>
    </row>
    <row r="33" spans="1:19">
      <c r="A33" s="206"/>
      <c r="B33" s="206"/>
      <c r="C33" s="206"/>
      <c r="D33" s="206"/>
      <c r="E33" s="206"/>
      <c r="F33" s="296">
        <v>0</v>
      </c>
      <c r="G33" s="285"/>
      <c r="H33" s="206"/>
      <c r="I33" s="206"/>
      <c r="J33" s="298">
        <v>0</v>
      </c>
      <c r="K33" s="211" t="s">
        <v>46</v>
      </c>
      <c r="L33" s="217">
        <v>-10870</v>
      </c>
      <c r="M33" s="217"/>
      <c r="N33" s="217">
        <v>-10870</v>
      </c>
      <c r="O33" s="297">
        <v>0</v>
      </c>
      <c r="P33" s="217">
        <v>-10870</v>
      </c>
      <c r="Q33" s="217"/>
      <c r="R33" s="217">
        <v>-10870</v>
      </c>
      <c r="S33" s="297">
        <v>0</v>
      </c>
    </row>
    <row r="34" spans="1:19">
      <c r="A34" s="211" t="s">
        <v>308</v>
      </c>
      <c r="B34" s="206"/>
      <c r="C34" s="284">
        <v>362019</v>
      </c>
      <c r="D34" s="206"/>
      <c r="E34" s="284">
        <v>354905</v>
      </c>
      <c r="F34" s="296">
        <v>-7114</v>
      </c>
      <c r="G34" s="295"/>
      <c r="H34" s="206"/>
      <c r="I34" s="206"/>
      <c r="J34" s="298">
        <v>0</v>
      </c>
      <c r="K34" s="211" t="s">
        <v>47</v>
      </c>
      <c r="L34" s="217">
        <v>190475</v>
      </c>
      <c r="M34" s="217"/>
      <c r="N34" s="217">
        <v>188397</v>
      </c>
      <c r="O34" s="297">
        <v>2078</v>
      </c>
      <c r="P34" s="217">
        <v>190475</v>
      </c>
      <c r="Q34" s="217"/>
      <c r="R34" s="217">
        <v>188397</v>
      </c>
      <c r="S34" s="297">
        <v>2078</v>
      </c>
    </row>
    <row r="35" spans="1:19">
      <c r="A35" s="211" t="s">
        <v>309</v>
      </c>
      <c r="B35" s="206"/>
      <c r="C35" s="284">
        <v>74957</v>
      </c>
      <c r="D35" s="206"/>
      <c r="E35" s="284">
        <v>74959</v>
      </c>
      <c r="F35" s="296">
        <v>2</v>
      </c>
      <c r="G35" s="303">
        <v>263798</v>
      </c>
      <c r="H35" s="206"/>
      <c r="I35" s="295">
        <v>266280</v>
      </c>
      <c r="J35" s="298">
        <v>2482</v>
      </c>
      <c r="K35" s="211" t="s">
        <v>48</v>
      </c>
      <c r="L35" s="217">
        <v>147022</v>
      </c>
      <c r="M35" s="217"/>
      <c r="N35" s="217">
        <v>154128</v>
      </c>
      <c r="O35" s="297">
        <v>-7106</v>
      </c>
      <c r="P35" s="217">
        <v>147022</v>
      </c>
      <c r="Q35" s="217"/>
      <c r="R35" s="217">
        <v>154128</v>
      </c>
      <c r="S35" s="297">
        <v>-7106</v>
      </c>
    </row>
    <row r="36" spans="1:19" ht="15.75" thickBot="1">
      <c r="A36" s="211" t="s">
        <v>310</v>
      </c>
      <c r="B36" s="206"/>
      <c r="C36" s="287"/>
      <c r="D36" s="206"/>
      <c r="E36" s="291"/>
      <c r="F36" s="296">
        <v>0</v>
      </c>
      <c r="G36" s="304">
        <v>41765</v>
      </c>
      <c r="H36" s="206"/>
      <c r="I36" s="289">
        <v>43490</v>
      </c>
      <c r="J36" s="298">
        <v>1725</v>
      </c>
      <c r="K36" s="211" t="s">
        <v>49</v>
      </c>
      <c r="L36" s="217">
        <v>-16234</v>
      </c>
      <c r="M36" s="217"/>
      <c r="N36" s="217">
        <v>-16234</v>
      </c>
      <c r="O36" s="297">
        <v>0</v>
      </c>
      <c r="P36" s="217">
        <v>-16234</v>
      </c>
      <c r="Q36" s="217"/>
      <c r="R36" s="217">
        <v>-16234</v>
      </c>
      <c r="S36" s="297">
        <v>0</v>
      </c>
    </row>
    <row r="37" spans="1:19" ht="15.75" thickBot="1">
      <c r="A37" s="206"/>
      <c r="B37" s="206"/>
      <c r="C37" s="285"/>
      <c r="D37" s="206"/>
      <c r="E37" s="206"/>
      <c r="F37" s="296">
        <v>0</v>
      </c>
      <c r="G37" s="285"/>
      <c r="H37" s="206"/>
      <c r="I37" s="285"/>
      <c r="J37" s="298">
        <v>0</v>
      </c>
      <c r="K37" s="211" t="s">
        <v>401</v>
      </c>
      <c r="L37" s="216">
        <v>4885</v>
      </c>
      <c r="M37" s="217"/>
      <c r="N37" s="216"/>
      <c r="O37" s="297">
        <v>4885</v>
      </c>
      <c r="P37" s="216">
        <v>4885</v>
      </c>
      <c r="Q37" s="217"/>
      <c r="R37" s="216"/>
      <c r="S37" s="297">
        <v>4885</v>
      </c>
    </row>
    <row r="38" spans="1:19">
      <c r="A38" s="206"/>
      <c r="B38" s="206"/>
      <c r="C38" s="285"/>
      <c r="D38" s="206"/>
      <c r="E38" s="206"/>
      <c r="F38" s="296">
        <v>0</v>
      </c>
      <c r="G38" s="285"/>
      <c r="H38" s="206"/>
      <c r="I38" s="285"/>
      <c r="J38" s="298">
        <v>0</v>
      </c>
      <c r="K38" s="206"/>
      <c r="L38" s="285"/>
      <c r="M38" s="211"/>
      <c r="N38" s="285"/>
      <c r="O38" s="297">
        <v>0</v>
      </c>
      <c r="P38" s="285"/>
      <c r="Q38" s="54"/>
      <c r="R38" s="285"/>
      <c r="S38" s="297">
        <v>0</v>
      </c>
    </row>
    <row r="39" spans="1:19" ht="15.75" thickBot="1">
      <c r="A39" s="206"/>
      <c r="B39" s="206"/>
      <c r="C39" s="289">
        <v>436976</v>
      </c>
      <c r="D39" s="206"/>
      <c r="E39" s="289">
        <v>429864</v>
      </c>
      <c r="F39" s="296">
        <v>-7112</v>
      </c>
      <c r="G39" s="289">
        <v>353421</v>
      </c>
      <c r="H39" s="206"/>
      <c r="I39" s="289">
        <v>357620</v>
      </c>
      <c r="J39" s="298">
        <v>4199</v>
      </c>
      <c r="K39" s="206"/>
      <c r="L39" s="289">
        <v>444671</v>
      </c>
      <c r="M39" s="211"/>
      <c r="N39" s="289">
        <v>442421</v>
      </c>
      <c r="O39" s="297">
        <v>2250</v>
      </c>
      <c r="P39" s="289">
        <v>444671</v>
      </c>
      <c r="Q39" s="54"/>
      <c r="R39" s="289">
        <v>442421</v>
      </c>
      <c r="S39" s="297">
        <v>2250</v>
      </c>
    </row>
    <row r="40" spans="1:19">
      <c r="A40" s="206"/>
      <c r="B40" s="206"/>
      <c r="C40" s="285"/>
      <c r="D40" s="206"/>
      <c r="E40" s="206"/>
      <c r="F40" s="296">
        <v>0</v>
      </c>
      <c r="G40" s="285"/>
      <c r="H40" s="206"/>
      <c r="I40" s="285"/>
      <c r="J40" s="298">
        <v>0</v>
      </c>
      <c r="K40" s="206"/>
      <c r="L40" s="285"/>
      <c r="M40" s="211"/>
      <c r="N40" s="285"/>
      <c r="O40" s="297">
        <v>0</v>
      </c>
      <c r="P40" s="285"/>
      <c r="Q40" s="54"/>
      <c r="R40" s="285"/>
      <c r="S40" s="297">
        <v>0</v>
      </c>
    </row>
    <row r="41" spans="1:19" ht="15.75" thickBot="1">
      <c r="A41" s="211"/>
      <c r="B41" s="211"/>
      <c r="C41" s="285"/>
      <c r="D41" s="211"/>
      <c r="E41" s="286"/>
      <c r="F41" s="296">
        <v>0</v>
      </c>
      <c r="G41" s="285"/>
      <c r="H41" s="211"/>
      <c r="I41" s="286"/>
      <c r="J41" s="298">
        <v>0</v>
      </c>
      <c r="K41" s="211" t="s">
        <v>54</v>
      </c>
      <c r="L41" s="287"/>
      <c r="M41" s="211"/>
      <c r="N41" s="288"/>
      <c r="O41" s="297">
        <v>0</v>
      </c>
      <c r="P41" s="289">
        <v>3644</v>
      </c>
      <c r="Q41" s="227"/>
      <c r="R41" s="289">
        <v>3588</v>
      </c>
      <c r="S41" s="297">
        <v>56</v>
      </c>
    </row>
    <row r="42" spans="1:19">
      <c r="A42" s="211"/>
      <c r="B42" s="211"/>
      <c r="C42" s="285"/>
      <c r="D42" s="211"/>
      <c r="E42" s="286"/>
      <c r="F42" s="296">
        <v>0</v>
      </c>
      <c r="G42" s="285"/>
      <c r="H42" s="211"/>
      <c r="I42" s="286"/>
      <c r="J42" s="298">
        <v>0</v>
      </c>
      <c r="K42" s="211"/>
      <c r="L42" s="285"/>
      <c r="M42" s="211"/>
      <c r="N42" s="286"/>
      <c r="O42" s="297">
        <v>0</v>
      </c>
      <c r="P42" s="285"/>
      <c r="Q42" s="227"/>
      <c r="R42" s="286"/>
      <c r="S42" s="297">
        <v>0</v>
      </c>
    </row>
    <row r="43" spans="1:19" ht="15.75" thickBot="1">
      <c r="A43" s="211"/>
      <c r="B43" s="211"/>
      <c r="C43" s="287"/>
      <c r="D43" s="211"/>
      <c r="E43" s="288"/>
      <c r="F43" s="296">
        <v>0</v>
      </c>
      <c r="G43" s="287"/>
      <c r="H43" s="211"/>
      <c r="I43" s="288"/>
      <c r="J43" s="298">
        <v>0</v>
      </c>
      <c r="K43" s="211" t="s">
        <v>50</v>
      </c>
      <c r="L43" s="289">
        <v>444671</v>
      </c>
      <c r="M43" s="211"/>
      <c r="N43" s="289">
        <v>442421</v>
      </c>
      <c r="O43" s="297">
        <v>2250</v>
      </c>
      <c r="P43" s="289">
        <v>448315</v>
      </c>
      <c r="Q43" s="227"/>
      <c r="R43" s="289">
        <v>446009</v>
      </c>
      <c r="S43" s="297">
        <v>2306</v>
      </c>
    </row>
    <row r="44" spans="1:19">
      <c r="A44" s="211"/>
      <c r="B44" s="211"/>
      <c r="C44" s="285"/>
      <c r="D44" s="211"/>
      <c r="E44" s="286"/>
      <c r="F44" s="296">
        <v>0</v>
      </c>
      <c r="G44" s="285"/>
      <c r="H44" s="211"/>
      <c r="I44" s="286"/>
      <c r="J44" s="298">
        <v>0</v>
      </c>
      <c r="K44" s="211"/>
      <c r="L44" s="285"/>
      <c r="M44" s="211"/>
      <c r="N44" s="286"/>
      <c r="O44" s="297">
        <v>0</v>
      </c>
      <c r="P44" s="285"/>
      <c r="Q44" s="227"/>
      <c r="R44" s="286"/>
      <c r="S44" s="297">
        <v>0</v>
      </c>
    </row>
    <row r="45" spans="1:19" ht="15.75" thickBot="1">
      <c r="A45" s="211" t="s">
        <v>37</v>
      </c>
      <c r="B45" s="206"/>
      <c r="C45" s="292">
        <v>444746</v>
      </c>
      <c r="D45" s="206"/>
      <c r="E45" s="292">
        <v>447823</v>
      </c>
      <c r="F45" s="296">
        <v>3077</v>
      </c>
      <c r="G45" s="292">
        <v>789913</v>
      </c>
      <c r="H45" s="206"/>
      <c r="I45" s="292">
        <v>838610</v>
      </c>
      <c r="J45" s="298">
        <v>48697</v>
      </c>
      <c r="K45" s="211" t="s">
        <v>311</v>
      </c>
      <c r="L45" s="292">
        <v>444746</v>
      </c>
      <c r="M45" s="211"/>
      <c r="N45" s="292">
        <v>447823</v>
      </c>
      <c r="O45" s="297">
        <v>-3077</v>
      </c>
      <c r="P45" s="292">
        <v>789913</v>
      </c>
      <c r="Q45" s="54"/>
      <c r="R45" s="292">
        <v>838610</v>
      </c>
      <c r="S45" s="297">
        <v>-48697</v>
      </c>
    </row>
    <row r="46" spans="1:19" ht="15.75" thickTop="1">
      <c r="A46" s="293"/>
      <c r="L46" s="299">
        <v>0</v>
      </c>
      <c r="N46" s="299">
        <v>0</v>
      </c>
      <c r="P46" s="299">
        <v>0</v>
      </c>
      <c r="R46" s="299">
        <v>0</v>
      </c>
    </row>
    <row r="47" spans="1:19">
      <c r="A47" s="293"/>
    </row>
    <row r="48" spans="1:19">
      <c r="A48" s="293"/>
    </row>
    <row r="49" spans="1:1">
      <c r="A49" s="294" t="s">
        <v>312</v>
      </c>
    </row>
    <row r="50" spans="1:1">
      <c r="A50" s="294" t="s">
        <v>313</v>
      </c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5"/>
  <cols>
    <col min="1" max="1" width="49.5703125" bestFit="1" customWidth="1"/>
    <col min="3" max="3" width="2.85546875" customWidth="1"/>
    <col min="5" max="5" width="2.85546875" customWidth="1"/>
    <col min="6" max="6" width="9.85546875" bestFit="1" customWidth="1"/>
    <col min="7" max="7" width="2.5703125" customWidth="1"/>
    <col min="9" max="10" width="9.140625" style="104"/>
    <col min="14" max="14" width="14.140625" bestFit="1" customWidth="1"/>
    <col min="16" max="16" width="10.85546875" bestFit="1" customWidth="1"/>
  </cols>
  <sheetData>
    <row r="1" spans="1:10" ht="15.75" thickBot="1">
      <c r="A1" s="206"/>
      <c r="B1" s="402" t="s">
        <v>263</v>
      </c>
      <c r="C1" s="402"/>
      <c r="D1" s="402"/>
      <c r="E1" s="54"/>
      <c r="F1" s="402" t="s">
        <v>264</v>
      </c>
      <c r="G1" s="402"/>
      <c r="H1" s="402"/>
    </row>
    <row r="2" spans="1:10">
      <c r="A2" s="206"/>
      <c r="B2" s="54"/>
      <c r="C2" s="207"/>
      <c r="D2" s="208"/>
      <c r="E2" s="54"/>
      <c r="F2" s="54"/>
      <c r="G2" s="207"/>
      <c r="H2" s="208"/>
    </row>
    <row r="3" spans="1:10" ht="15.75" thickBot="1">
      <c r="A3" s="206"/>
      <c r="B3" s="209"/>
      <c r="C3" s="54"/>
      <c r="D3" s="209">
        <v>2013</v>
      </c>
      <c r="E3" s="54"/>
      <c r="F3" s="209"/>
      <c r="G3" s="54"/>
      <c r="H3" s="209">
        <v>2013</v>
      </c>
      <c r="I3" s="210">
        <v>2012</v>
      </c>
      <c r="J3" s="210">
        <v>2013</v>
      </c>
    </row>
    <row r="4" spans="1:10">
      <c r="A4" s="206"/>
      <c r="B4" s="54"/>
      <c r="C4" s="54"/>
      <c r="D4" s="54"/>
      <c r="E4" s="54"/>
      <c r="F4" s="54"/>
      <c r="G4" s="54"/>
      <c r="H4" s="54"/>
    </row>
    <row r="5" spans="1:10">
      <c r="A5" s="211" t="s">
        <v>265</v>
      </c>
      <c r="B5" s="212"/>
      <c r="C5" s="212"/>
      <c r="D5" s="212"/>
      <c r="E5" s="212"/>
      <c r="F5" s="213">
        <v>67326</v>
      </c>
      <c r="G5" s="212"/>
      <c r="H5" s="214">
        <v>59182</v>
      </c>
    </row>
    <row r="6" spans="1:10" ht="15.75" thickBot="1">
      <c r="A6" s="211" t="s">
        <v>266</v>
      </c>
      <c r="B6" s="215"/>
      <c r="C6" s="212"/>
      <c r="D6" s="215"/>
      <c r="E6" s="212"/>
      <c r="F6" s="216">
        <v>-30550</v>
      </c>
      <c r="G6" s="217"/>
      <c r="H6" s="216">
        <v>-27197</v>
      </c>
      <c r="I6" s="104">
        <f>H6/H5</f>
        <v>-0.45954851137170083</v>
      </c>
      <c r="J6" s="104">
        <f>F6/F5</f>
        <v>-0.45376229094257792</v>
      </c>
    </row>
    <row r="7" spans="1:10">
      <c r="A7" s="206"/>
      <c r="B7" s="212"/>
      <c r="C7" s="212"/>
      <c r="D7" s="212"/>
      <c r="E7" s="212"/>
      <c r="F7" s="213"/>
      <c r="G7" s="212"/>
      <c r="H7" s="212"/>
    </row>
    <row r="8" spans="1:10">
      <c r="A8" s="218" t="s">
        <v>256</v>
      </c>
      <c r="B8" s="212"/>
      <c r="C8" s="212"/>
      <c r="D8" s="212"/>
      <c r="E8" s="212"/>
      <c r="F8" s="213">
        <f>SUM(F5:F7)</f>
        <v>36776</v>
      </c>
      <c r="G8" s="212"/>
      <c r="H8" s="213">
        <f>SUM(H5:H7)</f>
        <v>31985</v>
      </c>
      <c r="I8" s="104">
        <f>H8/$H$5</f>
        <v>0.54045148862829917</v>
      </c>
      <c r="J8" s="104">
        <f>F8/$F$5</f>
        <v>0.54623770905742208</v>
      </c>
    </row>
    <row r="9" spans="1:10">
      <c r="A9" s="211" t="s">
        <v>267</v>
      </c>
      <c r="B9" s="217"/>
      <c r="C9" s="217"/>
      <c r="D9" s="217"/>
      <c r="E9" s="217"/>
      <c r="F9" s="217">
        <v>-24076</v>
      </c>
      <c r="G9" s="217"/>
      <c r="H9" s="217">
        <v>-23110</v>
      </c>
      <c r="I9" s="104">
        <f t="shared" ref="I9:I25" si="0">H9/$H$5</f>
        <v>-0.39049035179615421</v>
      </c>
      <c r="J9" s="104">
        <f t="shared" ref="J9:J25" si="1">F9/$F$5</f>
        <v>-0.35760330333006562</v>
      </c>
    </row>
    <row r="10" spans="1:10">
      <c r="A10" s="211" t="s">
        <v>268</v>
      </c>
      <c r="B10" s="217">
        <v>-235</v>
      </c>
      <c r="C10" s="217"/>
      <c r="D10" s="219">
        <v>-212</v>
      </c>
      <c r="E10" s="217"/>
      <c r="F10" s="217">
        <v>-8784</v>
      </c>
      <c r="G10" s="217"/>
      <c r="H10" s="217">
        <v>-9158</v>
      </c>
      <c r="I10" s="104">
        <f t="shared" si="0"/>
        <v>-0.15474299618127133</v>
      </c>
      <c r="J10" s="104">
        <f t="shared" si="1"/>
        <v>-0.13046965511095268</v>
      </c>
    </row>
    <row r="11" spans="1:10">
      <c r="A11" s="211" t="s">
        <v>269</v>
      </c>
      <c r="B11" s="217">
        <v>0</v>
      </c>
      <c r="C11" s="217"/>
      <c r="D11" s="219"/>
      <c r="E11" s="217"/>
      <c r="F11" s="217">
        <v>-5400</v>
      </c>
      <c r="G11" s="217"/>
      <c r="H11" s="217">
        <v>-5783</v>
      </c>
      <c r="I11" s="104">
        <f t="shared" si="0"/>
        <v>-9.7715521611300732E-2</v>
      </c>
      <c r="J11" s="104">
        <f t="shared" si="1"/>
        <v>-8.020675519115944E-2</v>
      </c>
    </row>
    <row r="12" spans="1:10" ht="15.75" thickBot="1">
      <c r="A12" s="211" t="s">
        <v>270</v>
      </c>
      <c r="B12" s="216">
        <v>-5189</v>
      </c>
      <c r="C12" s="220"/>
      <c r="D12" s="221">
        <v>-7607</v>
      </c>
      <c r="E12" s="212"/>
      <c r="F12" s="222"/>
      <c r="G12" s="212"/>
      <c r="H12" s="215"/>
      <c r="I12" s="104">
        <f t="shared" si="0"/>
        <v>0</v>
      </c>
      <c r="J12" s="104">
        <f t="shared" si="1"/>
        <v>0</v>
      </c>
    </row>
    <row r="13" spans="1:10">
      <c r="A13" s="206"/>
      <c r="B13" s="213"/>
      <c r="C13" s="220"/>
      <c r="D13" s="213"/>
      <c r="E13" s="212"/>
      <c r="F13" s="213"/>
      <c r="G13" s="212"/>
      <c r="H13" s="212"/>
      <c r="I13" s="104">
        <f t="shared" si="0"/>
        <v>0</v>
      </c>
      <c r="J13" s="104">
        <f t="shared" si="1"/>
        <v>0</v>
      </c>
    </row>
    <row r="14" spans="1:10">
      <c r="A14" s="218" t="s">
        <v>271</v>
      </c>
      <c r="B14" s="217">
        <f>SUM(B8:B12)</f>
        <v>-5424</v>
      </c>
      <c r="C14" s="217"/>
      <c r="D14" s="217">
        <f>SUM(D8:D12)</f>
        <v>-7819</v>
      </c>
      <c r="E14" s="217"/>
      <c r="F14" s="217">
        <f>SUM(F8:F12)</f>
        <v>-1484</v>
      </c>
      <c r="G14" s="217"/>
      <c r="H14" s="217">
        <f>SUM(H8:H12)</f>
        <v>-6066</v>
      </c>
      <c r="I14" s="104">
        <f t="shared" si="0"/>
        <v>-0.10249738096042715</v>
      </c>
      <c r="J14" s="104">
        <f t="shared" si="1"/>
        <v>-2.2042004574755667E-2</v>
      </c>
    </row>
    <row r="15" spans="1:10">
      <c r="A15" s="211" t="s">
        <v>257</v>
      </c>
      <c r="B15" s="217">
        <v>21</v>
      </c>
      <c r="C15" s="217"/>
      <c r="D15" s="223">
        <v>98</v>
      </c>
      <c r="E15" s="217"/>
      <c r="F15" s="217">
        <v>6370</v>
      </c>
      <c r="G15" s="217"/>
      <c r="H15" s="224">
        <v>3957</v>
      </c>
      <c r="I15" s="104">
        <f t="shared" si="0"/>
        <v>6.6861545740258863E-2</v>
      </c>
      <c r="J15" s="104">
        <f t="shared" si="1"/>
        <v>9.4614264919941779E-2</v>
      </c>
    </row>
    <row r="16" spans="1:10" ht="15.75" thickBot="1">
      <c r="A16" s="211" t="s">
        <v>258</v>
      </c>
      <c r="B16" s="216"/>
      <c r="C16" s="217"/>
      <c r="D16" s="216"/>
      <c r="E16" s="217"/>
      <c r="F16" s="216">
        <v>-8870</v>
      </c>
      <c r="G16" s="217"/>
      <c r="H16" s="216">
        <v>-2569</v>
      </c>
      <c r="I16" s="104">
        <f t="shared" si="0"/>
        <v>-4.3408468791186511E-2</v>
      </c>
      <c r="J16" s="104">
        <f t="shared" si="1"/>
        <v>-0.13174702195288596</v>
      </c>
    </row>
    <row r="17" spans="1:10">
      <c r="A17" s="206"/>
      <c r="B17" s="213"/>
      <c r="C17" s="220"/>
      <c r="D17" s="213"/>
      <c r="E17" s="212"/>
      <c r="F17" s="213"/>
      <c r="G17" s="212"/>
      <c r="H17" s="212"/>
      <c r="I17" s="104">
        <f t="shared" si="0"/>
        <v>0</v>
      </c>
      <c r="J17" s="104">
        <f t="shared" si="1"/>
        <v>0</v>
      </c>
    </row>
    <row r="18" spans="1:10" ht="15.75" thickBot="1">
      <c r="A18" s="218" t="s">
        <v>272</v>
      </c>
      <c r="B18" s="222">
        <f>SUM(B15:B16)</f>
        <v>21</v>
      </c>
      <c r="C18" s="220"/>
      <c r="D18" s="222">
        <f>SUM(D15:D16)</f>
        <v>98</v>
      </c>
      <c r="E18" s="212"/>
      <c r="F18" s="222">
        <f>SUM(F15:F16)</f>
        <v>-2500</v>
      </c>
      <c r="G18" s="212"/>
      <c r="H18" s="222">
        <f>SUM(H15:H16)</f>
        <v>1388</v>
      </c>
      <c r="I18" s="104">
        <f t="shared" si="0"/>
        <v>2.3453076949072352E-2</v>
      </c>
      <c r="J18" s="104">
        <f t="shared" si="1"/>
        <v>-3.7132757032944184E-2</v>
      </c>
    </row>
    <row r="19" spans="1:10">
      <c r="A19" s="206"/>
      <c r="B19" s="213"/>
      <c r="C19" s="220"/>
      <c r="D19" s="213"/>
      <c r="E19" s="212"/>
      <c r="F19" s="213"/>
      <c r="G19" s="212"/>
      <c r="H19" s="212"/>
      <c r="I19" s="104">
        <f t="shared" si="0"/>
        <v>0</v>
      </c>
      <c r="J19" s="104">
        <f t="shared" si="1"/>
        <v>0</v>
      </c>
    </row>
    <row r="20" spans="1:10">
      <c r="A20" s="218" t="s">
        <v>259</v>
      </c>
      <c r="B20" s="217">
        <f>B14+B18</f>
        <v>-5403</v>
      </c>
      <c r="C20" s="217"/>
      <c r="D20" s="217">
        <f>D14+D18</f>
        <v>-7721</v>
      </c>
      <c r="E20" s="217"/>
      <c r="F20" s="217">
        <f>F14+F18</f>
        <v>-3984</v>
      </c>
      <c r="G20" s="217"/>
      <c r="H20" s="217">
        <f>H14+H18</f>
        <v>-4678</v>
      </c>
      <c r="I20" s="104">
        <f t="shared" si="0"/>
        <v>-7.9044304011354802E-2</v>
      </c>
      <c r="J20" s="104">
        <f t="shared" si="1"/>
        <v>-5.9174761607699848E-2</v>
      </c>
    </row>
    <row r="21" spans="1:10">
      <c r="A21" s="211" t="s">
        <v>260</v>
      </c>
      <c r="B21" s="217"/>
      <c r="C21" s="217"/>
      <c r="D21" s="217"/>
      <c r="E21" s="217"/>
      <c r="F21" s="217"/>
      <c r="G21" s="217"/>
      <c r="H21" s="217"/>
      <c r="I21" s="104">
        <f t="shared" si="0"/>
        <v>0</v>
      </c>
      <c r="J21" s="104">
        <f t="shared" si="1"/>
        <v>0</v>
      </c>
    </row>
    <row r="22" spans="1:10">
      <c r="A22" s="211" t="s">
        <v>273</v>
      </c>
      <c r="B22" s="217"/>
      <c r="C22" s="217"/>
      <c r="D22" s="217"/>
      <c r="E22" s="217"/>
      <c r="F22" s="217">
        <v>-2049</v>
      </c>
      <c r="G22" s="217"/>
      <c r="H22" s="224">
        <v>-921</v>
      </c>
      <c r="I22" s="104">
        <f t="shared" si="0"/>
        <v>-1.5562164171538644E-2</v>
      </c>
      <c r="J22" s="104">
        <f t="shared" si="1"/>
        <v>-3.0434007664201051E-2</v>
      </c>
    </row>
    <row r="23" spans="1:10" ht="15.75" thickBot="1">
      <c r="A23" s="211" t="s">
        <v>274</v>
      </c>
      <c r="B23" s="216"/>
      <c r="C23" s="217"/>
      <c r="D23" s="216"/>
      <c r="E23" s="217"/>
      <c r="F23" s="216">
        <v>615</v>
      </c>
      <c r="G23" s="217"/>
      <c r="H23" s="216">
        <v>-2163</v>
      </c>
      <c r="I23" s="104">
        <f t="shared" si="0"/>
        <v>-3.6548274813287825E-2</v>
      </c>
      <c r="J23" s="104">
        <f t="shared" si="1"/>
        <v>9.1346582301042693E-3</v>
      </c>
    </row>
    <row r="24" spans="1:10">
      <c r="A24" s="206"/>
      <c r="B24" s="213"/>
      <c r="C24" s="220"/>
      <c r="D24" s="213"/>
      <c r="E24" s="212"/>
      <c r="F24" s="213"/>
      <c r="G24" s="212"/>
      <c r="H24" s="212"/>
      <c r="I24" s="104">
        <f t="shared" si="0"/>
        <v>0</v>
      </c>
      <c r="J24" s="104">
        <f t="shared" si="1"/>
        <v>0</v>
      </c>
    </row>
    <row r="25" spans="1:10" ht="15.75" thickBot="1">
      <c r="A25" s="218" t="s">
        <v>275</v>
      </c>
      <c r="B25" s="225">
        <f>SUM(B20:B24)</f>
        <v>-5403</v>
      </c>
      <c r="C25" s="220"/>
      <c r="D25" s="225">
        <f>SUM(D20:D24)</f>
        <v>-7721</v>
      </c>
      <c r="E25" s="212"/>
      <c r="F25" s="225">
        <f>SUM(F20:F24)</f>
        <v>-5418</v>
      </c>
      <c r="G25" s="212"/>
      <c r="H25" s="225">
        <f>SUM(H20:H24)</f>
        <v>-7762</v>
      </c>
      <c r="I25" s="104">
        <f t="shared" si="0"/>
        <v>-0.13115474299618127</v>
      </c>
      <c r="J25" s="104">
        <f t="shared" si="1"/>
        <v>-8.0474111041796637E-2</v>
      </c>
    </row>
    <row r="26" spans="1:10" ht="15.75" thickTop="1">
      <c r="A26" s="206"/>
      <c r="B26" s="213"/>
      <c r="C26" s="220"/>
      <c r="D26" s="213"/>
      <c r="E26" s="212"/>
      <c r="F26" s="213"/>
      <c r="G26" s="212"/>
      <c r="H26" s="212"/>
    </row>
    <row r="27" spans="1:10">
      <c r="A27" s="206"/>
      <c r="B27" s="213"/>
      <c r="C27" s="220"/>
      <c r="D27" s="213"/>
      <c r="E27" s="212"/>
      <c r="F27" s="212"/>
      <c r="G27" s="212"/>
      <c r="H27" s="212"/>
    </row>
    <row r="28" spans="1:10">
      <c r="A28" s="218" t="s">
        <v>261</v>
      </c>
      <c r="B28" s="407"/>
      <c r="C28" s="408"/>
      <c r="D28" s="407"/>
      <c r="E28" s="406"/>
      <c r="F28" s="217"/>
      <c r="G28" s="217"/>
      <c r="H28" s="217"/>
    </row>
    <row r="29" spans="1:10">
      <c r="A29" s="218"/>
      <c r="B29" s="407"/>
      <c r="C29" s="408"/>
      <c r="D29" s="407"/>
      <c r="E29" s="406"/>
      <c r="F29" s="217"/>
      <c r="G29" s="217"/>
      <c r="H29" s="217"/>
    </row>
    <row r="30" spans="1:10">
      <c r="A30" s="211" t="s">
        <v>262</v>
      </c>
      <c r="B30" s="407"/>
      <c r="C30" s="408"/>
      <c r="D30" s="407"/>
      <c r="E30" s="406"/>
      <c r="F30" s="217">
        <v>-5403</v>
      </c>
      <c r="G30" s="217"/>
      <c r="H30" s="214">
        <v>-7721</v>
      </c>
    </row>
    <row r="31" spans="1:10">
      <c r="A31" s="211" t="s">
        <v>69</v>
      </c>
      <c r="B31" s="226"/>
      <c r="C31" s="227"/>
      <c r="D31" s="226"/>
      <c r="E31" s="54"/>
      <c r="F31" s="217">
        <v>-15</v>
      </c>
      <c r="G31" s="217"/>
      <c r="H31" s="219">
        <v>-41</v>
      </c>
    </row>
    <row r="32" spans="1:10" ht="15.75" thickBot="1">
      <c r="A32" s="206"/>
      <c r="B32" s="226"/>
      <c r="C32" s="227"/>
      <c r="D32" s="226"/>
      <c r="E32" s="54"/>
      <c r="F32" s="228"/>
      <c r="G32" s="54"/>
      <c r="H32" s="228"/>
    </row>
    <row r="33" spans="1:16">
      <c r="A33" s="206"/>
      <c r="B33" s="226"/>
      <c r="C33" s="227"/>
      <c r="D33" s="226"/>
      <c r="E33" s="54"/>
      <c r="F33" s="54"/>
      <c r="G33" s="54"/>
      <c r="H33" s="54"/>
    </row>
    <row r="34" spans="1:16" ht="15.75" thickBot="1">
      <c r="A34" s="206"/>
      <c r="B34" s="226"/>
      <c r="C34" s="227"/>
      <c r="D34" s="226"/>
      <c r="E34" s="54"/>
      <c r="F34" s="229">
        <f>SUM(F28:F32)</f>
        <v>-5418</v>
      </c>
      <c r="G34" s="54"/>
      <c r="H34" s="229">
        <f>SUM(H28:H32)</f>
        <v>-7762</v>
      </c>
    </row>
    <row r="35" spans="1:16" ht="109.5" customHeight="1" thickTop="1">
      <c r="A35" s="207" t="s">
        <v>276</v>
      </c>
      <c r="B35" s="226"/>
      <c r="C35" s="227"/>
      <c r="D35" s="226"/>
      <c r="E35" s="54"/>
      <c r="F35" s="54"/>
      <c r="G35" s="54"/>
      <c r="H35" s="54"/>
    </row>
    <row r="36" spans="1:16" ht="48.75" customHeight="1">
      <c r="A36" s="207" t="s">
        <v>277</v>
      </c>
      <c r="B36" s="226"/>
      <c r="C36" s="227"/>
      <c r="D36" s="226"/>
      <c r="E36" s="54"/>
      <c r="F36" s="54"/>
      <c r="G36" s="54"/>
      <c r="H36" s="54"/>
    </row>
    <row r="37" spans="1:16">
      <c r="A37" s="54"/>
      <c r="B37" s="226"/>
      <c r="C37" s="227"/>
      <c r="D37" s="226"/>
      <c r="E37" s="54"/>
      <c r="F37" s="54"/>
      <c r="G37" s="54"/>
      <c r="H37" s="54"/>
      <c r="L37" t="s">
        <v>278</v>
      </c>
    </row>
    <row r="38" spans="1:16">
      <c r="A38" s="218" t="s">
        <v>279</v>
      </c>
      <c r="B38" s="226"/>
      <c r="C38" s="227"/>
      <c r="D38" s="226"/>
      <c r="E38" s="54"/>
      <c r="F38" s="54"/>
      <c r="G38" s="54"/>
      <c r="H38" s="54"/>
      <c r="L38" t="s">
        <v>280</v>
      </c>
      <c r="N38" s="205">
        <v>77473553.7675841</v>
      </c>
      <c r="O38" t="s">
        <v>281</v>
      </c>
      <c r="P38" s="230">
        <v>41639</v>
      </c>
    </row>
    <row r="39" spans="1:16" ht="15.75" thickBot="1">
      <c r="A39" s="211" t="s">
        <v>282</v>
      </c>
      <c r="B39" s="226"/>
      <c r="C39" s="227"/>
      <c r="D39" s="226"/>
      <c r="E39" s="54"/>
      <c r="F39" s="231">
        <f>F30/(N38/1000)</f>
        <v>-6.973992720417431E-2</v>
      </c>
      <c r="G39" s="54"/>
      <c r="H39" s="232">
        <v>-0.108</v>
      </c>
      <c r="L39" t="s">
        <v>283</v>
      </c>
      <c r="N39" s="205"/>
    </row>
    <row r="40" spans="1:16" ht="15.75" thickTop="1">
      <c r="A40" s="206"/>
      <c r="B40" s="54"/>
      <c r="C40" s="54"/>
      <c r="D40" s="54"/>
      <c r="E40" s="54"/>
      <c r="F40" s="233"/>
      <c r="G40" s="54"/>
      <c r="H40" s="54"/>
      <c r="L40" t="s">
        <v>284</v>
      </c>
      <c r="N40" s="205">
        <v>3050178.8136986303</v>
      </c>
    </row>
    <row r="41" spans="1:16">
      <c r="A41" s="218" t="s">
        <v>285</v>
      </c>
      <c r="B41" s="54"/>
      <c r="C41" s="54"/>
      <c r="D41" s="54"/>
      <c r="E41" s="54"/>
      <c r="F41" s="233"/>
      <c r="G41" s="54"/>
      <c r="H41" s="54"/>
    </row>
    <row r="42" spans="1:16" ht="15.75" thickBot="1">
      <c r="A42" s="211" t="s">
        <v>286</v>
      </c>
      <c r="B42" s="54"/>
      <c r="C42" s="54"/>
      <c r="D42" s="54"/>
      <c r="E42" s="54"/>
      <c r="F42" s="231">
        <f>F30/(N42/1000)</f>
        <v>-6.7098230879276147E-2</v>
      </c>
      <c r="G42" s="54"/>
      <c r="H42" s="232">
        <v>-9.6000000000000002E-2</v>
      </c>
      <c r="L42" t="s">
        <v>287</v>
      </c>
      <c r="N42" s="234">
        <f>SUM(N38:N40)</f>
        <v>80523732.581282735</v>
      </c>
    </row>
    <row r="43" spans="1:16" ht="15.75" thickTop="1">
      <c r="F43" s="235"/>
    </row>
    <row r="44" spans="1:16">
      <c r="F44" s="235"/>
      <c r="L44" t="s">
        <v>288</v>
      </c>
      <c r="N44" s="236">
        <f>G36/(N38/1000)</f>
        <v>0</v>
      </c>
    </row>
    <row r="45" spans="1:16">
      <c r="L45" t="s">
        <v>289</v>
      </c>
      <c r="N45" s="236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40625" defaultRowHeight="12.75"/>
  <cols>
    <col min="1" max="1" width="56.85546875" style="106" bestFit="1" customWidth="1"/>
    <col min="2" max="2" width="2.85546875" style="106" customWidth="1"/>
    <col min="3" max="3" width="10.85546875" style="106" bestFit="1" customWidth="1"/>
    <col min="4" max="4" width="7.5703125" style="106" bestFit="1" customWidth="1"/>
    <col min="5" max="5" width="9.140625" style="106" bestFit="1" customWidth="1"/>
    <col min="6" max="6" width="9.85546875" style="106" bestFit="1" customWidth="1"/>
    <col min="7" max="7" width="7.140625" style="106" bestFit="1" customWidth="1"/>
    <col min="8" max="8" width="9.140625" style="106" bestFit="1" customWidth="1"/>
    <col min="9" max="9" width="10.140625" style="106" bestFit="1" customWidth="1"/>
    <col min="10" max="10" width="15.85546875" style="106" customWidth="1"/>
    <col min="11" max="11" width="16.5703125" style="106" customWidth="1"/>
    <col min="12" max="12" width="14.5703125" style="106" customWidth="1"/>
    <col min="13" max="14" width="14.5703125" style="106" hidden="1" customWidth="1"/>
    <col min="15" max="15" width="9.140625" style="106" hidden="1" customWidth="1"/>
    <col min="16" max="16" width="15.42578125" style="106" hidden="1" customWidth="1"/>
    <col min="17" max="18" width="9.140625" style="106" hidden="1" customWidth="1"/>
    <col min="19" max="19" width="4.85546875" style="106" hidden="1" customWidth="1"/>
    <col min="20" max="20" width="41.140625" style="106" hidden="1" customWidth="1"/>
    <col min="21" max="21" width="12.85546875" style="106" hidden="1" customWidth="1"/>
    <col min="22" max="22" width="26.140625" style="106" hidden="1" customWidth="1"/>
    <col min="23" max="23" width="4.85546875" style="106" hidden="1" customWidth="1"/>
    <col min="24" max="25" width="11" style="106" hidden="1" customWidth="1"/>
    <col min="26" max="26" width="0" style="106" hidden="1" customWidth="1"/>
    <col min="27" max="27" width="43" style="106" customWidth="1"/>
    <col min="28" max="28" width="4" style="106" customWidth="1"/>
    <col min="29" max="29" width="10.140625" style="106" bestFit="1" customWidth="1"/>
    <col min="30" max="16384" width="9.140625" style="106"/>
  </cols>
  <sheetData>
    <row r="1" spans="1:18">
      <c r="A1" s="185" t="s">
        <v>70</v>
      </c>
      <c r="B1" s="157"/>
      <c r="C1" s="157"/>
      <c r="D1" s="157"/>
      <c r="E1" s="157"/>
      <c r="F1" s="157"/>
      <c r="G1" s="157"/>
      <c r="H1" s="157"/>
      <c r="I1" s="157"/>
      <c r="J1" s="157"/>
      <c r="K1" s="173">
        <v>41743.60204849537</v>
      </c>
      <c r="L1" s="157"/>
      <c r="M1" s="157"/>
      <c r="N1" s="157"/>
      <c r="O1" s="157"/>
      <c r="P1" s="157"/>
      <c r="Q1" s="157"/>
      <c r="R1" s="157"/>
    </row>
    <row r="2" spans="1:18">
      <c r="A2" s="185" t="s">
        <v>71</v>
      </c>
      <c r="B2" s="157"/>
      <c r="C2" s="172">
        <v>41729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>
      <c r="A4" s="157"/>
      <c r="B4" s="157"/>
      <c r="C4" s="198" t="s">
        <v>72</v>
      </c>
      <c r="D4" s="157" t="s">
        <v>73</v>
      </c>
      <c r="E4" s="168" t="s">
        <v>74</v>
      </c>
      <c r="F4" s="168" t="s">
        <v>75</v>
      </c>
      <c r="G4" s="168" t="s">
        <v>76</v>
      </c>
      <c r="H4" s="178" t="s">
        <v>77</v>
      </c>
      <c r="I4" s="157" t="s">
        <v>78</v>
      </c>
      <c r="J4" s="186" t="s">
        <v>79</v>
      </c>
      <c r="K4" s="168" t="s">
        <v>80</v>
      </c>
      <c r="L4" s="157"/>
      <c r="M4" s="157"/>
      <c r="N4" s="157"/>
      <c r="O4" s="157"/>
      <c r="P4" s="157"/>
      <c r="Q4" s="157"/>
      <c r="R4" s="157"/>
    </row>
    <row r="5" spans="1:18">
      <c r="A5" s="157" t="s">
        <v>81</v>
      </c>
      <c r="B5" s="157"/>
      <c r="C5" s="199">
        <v>41729</v>
      </c>
      <c r="D5" s="169">
        <v>41729</v>
      </c>
      <c r="E5" s="195">
        <v>41729</v>
      </c>
      <c r="F5" s="195">
        <v>41729</v>
      </c>
      <c r="G5" s="195">
        <v>41729</v>
      </c>
      <c r="H5" s="195">
        <v>41729</v>
      </c>
      <c r="I5" s="195">
        <v>41729</v>
      </c>
      <c r="J5" s="187" t="s">
        <v>82</v>
      </c>
      <c r="K5" s="170" t="s">
        <v>83</v>
      </c>
      <c r="L5" s="202" t="s">
        <v>84</v>
      </c>
      <c r="M5" s="171" t="s">
        <v>85</v>
      </c>
      <c r="N5" s="171" t="s">
        <v>72</v>
      </c>
      <c r="O5" s="171" t="s">
        <v>86</v>
      </c>
      <c r="P5" s="171" t="s">
        <v>74</v>
      </c>
      <c r="Q5" s="171" t="s">
        <v>87</v>
      </c>
      <c r="R5" s="174" t="s">
        <v>88</v>
      </c>
    </row>
    <row r="7" spans="1:18">
      <c r="A7" s="157"/>
      <c r="B7" s="157"/>
      <c r="C7" s="189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>
      <c r="A8" s="157"/>
      <c r="B8" s="158"/>
      <c r="C8" s="158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7" t="s">
        <v>89</v>
      </c>
      <c r="B9" s="158"/>
      <c r="C9" s="158">
        <v>47067</v>
      </c>
      <c r="D9" s="158">
        <v>6</v>
      </c>
      <c r="E9" s="158">
        <v>3228</v>
      </c>
      <c r="F9" s="158">
        <v>1623</v>
      </c>
      <c r="G9" s="158">
        <v>-2</v>
      </c>
      <c r="H9" s="158">
        <v>0</v>
      </c>
      <c r="I9" s="158">
        <v>51922</v>
      </c>
      <c r="J9" s="158"/>
      <c r="K9" s="165"/>
      <c r="L9" s="165">
        <v>51922</v>
      </c>
      <c r="M9" s="165"/>
      <c r="N9" s="165">
        <v>47067</v>
      </c>
      <c r="O9" s="165"/>
      <c r="P9" s="165">
        <v>3228</v>
      </c>
      <c r="Q9" s="165"/>
      <c r="R9" s="165">
        <v>1623</v>
      </c>
    </row>
    <row r="10" spans="1:18">
      <c r="A10" s="157" t="s">
        <v>90</v>
      </c>
      <c r="B10" s="158"/>
      <c r="C10" s="189">
        <v>2765</v>
      </c>
      <c r="D10" s="158">
        <v>6</v>
      </c>
      <c r="E10" s="158">
        <v>2436</v>
      </c>
      <c r="F10" s="158">
        <v>1623</v>
      </c>
      <c r="G10" s="158">
        <v>-2</v>
      </c>
      <c r="H10" s="158"/>
      <c r="I10" s="165">
        <v>6828</v>
      </c>
      <c r="J10" s="165"/>
      <c r="K10" s="157"/>
      <c r="L10" s="165">
        <v>6828</v>
      </c>
      <c r="M10" s="165"/>
      <c r="N10" s="165">
        <v>2765</v>
      </c>
      <c r="O10" s="165"/>
      <c r="P10" s="165">
        <v>2436</v>
      </c>
      <c r="Q10" s="165"/>
      <c r="R10" s="165">
        <v>1623</v>
      </c>
    </row>
    <row r="11" spans="1:18">
      <c r="A11" s="157" t="s">
        <v>91</v>
      </c>
      <c r="B11" s="158"/>
      <c r="C11" s="177">
        <v>44302</v>
      </c>
      <c r="D11" s="157"/>
      <c r="E11" s="158">
        <v>792</v>
      </c>
      <c r="F11" s="158"/>
      <c r="G11" s="158"/>
      <c r="H11" s="158"/>
      <c r="I11" s="165">
        <v>45094</v>
      </c>
      <c r="J11" s="165"/>
      <c r="K11" s="157"/>
      <c r="L11" s="165">
        <v>45094</v>
      </c>
      <c r="M11" s="165"/>
      <c r="N11" s="165">
        <v>44302</v>
      </c>
      <c r="O11" s="165"/>
      <c r="P11" s="165">
        <v>792</v>
      </c>
      <c r="Q11" s="165"/>
      <c r="R11" s="165">
        <v>0</v>
      </c>
    </row>
    <row r="12" spans="1:18">
      <c r="A12" s="164" t="s">
        <v>92</v>
      </c>
      <c r="B12" s="158"/>
      <c r="C12" s="158"/>
      <c r="D12" s="157"/>
      <c r="E12" s="158"/>
      <c r="F12" s="158"/>
      <c r="G12" s="158"/>
      <c r="H12" s="158"/>
      <c r="I12" s="165">
        <v>0</v>
      </c>
      <c r="J12" s="165"/>
      <c r="K12" s="157"/>
      <c r="L12" s="165">
        <v>0</v>
      </c>
      <c r="M12" s="165"/>
      <c r="N12" s="165">
        <v>0</v>
      </c>
      <c r="O12" s="165"/>
      <c r="P12" s="165">
        <v>0</v>
      </c>
      <c r="Q12" s="165"/>
      <c r="R12" s="165">
        <v>0</v>
      </c>
    </row>
    <row r="13" spans="1:18">
      <c r="A13" s="157" t="s">
        <v>93</v>
      </c>
      <c r="B13" s="158"/>
      <c r="C13" s="193">
        <v>196506</v>
      </c>
      <c r="D13" s="157"/>
      <c r="E13" s="158">
        <v>2697</v>
      </c>
      <c r="F13" s="157"/>
      <c r="G13" s="158">
        <v>239</v>
      </c>
      <c r="H13" s="158"/>
      <c r="I13" s="165">
        <v>199442</v>
      </c>
      <c r="J13" s="165"/>
      <c r="K13" s="158">
        <v>6013</v>
      </c>
      <c r="L13" s="165">
        <v>193429</v>
      </c>
      <c r="M13" s="165"/>
      <c r="N13" s="165">
        <v>196506</v>
      </c>
      <c r="O13" s="165"/>
      <c r="P13" s="165">
        <v>2697</v>
      </c>
      <c r="Q13" s="165"/>
      <c r="R13" s="165">
        <v>0</v>
      </c>
    </row>
    <row r="14" spans="1:18">
      <c r="A14" s="157" t="s">
        <v>94</v>
      </c>
      <c r="B14" s="158"/>
      <c r="C14" s="193">
        <v>-3365</v>
      </c>
      <c r="D14" s="157"/>
      <c r="E14" s="158"/>
      <c r="F14" s="157"/>
      <c r="G14" s="157"/>
      <c r="H14" s="158"/>
      <c r="I14" s="165">
        <v>-3365</v>
      </c>
      <c r="J14" s="165"/>
      <c r="K14" s="158"/>
      <c r="L14" s="165">
        <v>-3365</v>
      </c>
      <c r="M14" s="165"/>
      <c r="N14" s="165">
        <v>-3365</v>
      </c>
      <c r="O14" s="165"/>
      <c r="P14" s="165">
        <v>0</v>
      </c>
      <c r="Q14" s="165"/>
      <c r="R14" s="165">
        <v>0</v>
      </c>
    </row>
    <row r="15" spans="1:18">
      <c r="A15" s="157" t="s">
        <v>95</v>
      </c>
      <c r="B15" s="158"/>
      <c r="C15" s="204">
        <v>181336</v>
      </c>
      <c r="D15" s="157"/>
      <c r="E15" s="158">
        <v>4930</v>
      </c>
      <c r="F15" s="157"/>
      <c r="G15" s="157"/>
      <c r="H15" s="158"/>
      <c r="I15" s="165">
        <v>186266</v>
      </c>
      <c r="J15" s="165">
        <v>0</v>
      </c>
      <c r="K15" s="177">
        <v>2470</v>
      </c>
      <c r="L15" s="165">
        <v>183796</v>
      </c>
      <c r="M15" s="165"/>
      <c r="N15" s="165">
        <v>181336</v>
      </c>
      <c r="O15" s="165"/>
      <c r="P15" s="165">
        <v>4930</v>
      </c>
      <c r="Q15" s="165"/>
      <c r="R15" s="165">
        <v>0</v>
      </c>
    </row>
    <row r="16" spans="1:18">
      <c r="A16" s="157" t="s">
        <v>96</v>
      </c>
      <c r="B16" s="158"/>
      <c r="C16" s="177">
        <v>12573</v>
      </c>
      <c r="D16" s="157"/>
      <c r="E16" s="158">
        <v>469</v>
      </c>
      <c r="F16" s="158">
        <v>1073</v>
      </c>
      <c r="G16" s="158">
        <v>9</v>
      </c>
      <c r="H16" s="158"/>
      <c r="I16" s="165">
        <v>14124</v>
      </c>
      <c r="J16" s="165"/>
      <c r="K16" s="158"/>
      <c r="L16" s="165">
        <v>14124</v>
      </c>
      <c r="M16" s="165"/>
      <c r="N16" s="165">
        <v>12573</v>
      </c>
      <c r="O16" s="165"/>
      <c r="P16" s="165">
        <v>469</v>
      </c>
      <c r="Q16" s="165"/>
      <c r="R16" s="165">
        <v>1073</v>
      </c>
    </row>
    <row r="17" spans="1:18">
      <c r="A17" s="164" t="s">
        <v>97</v>
      </c>
      <c r="B17" s="158"/>
      <c r="C17" s="177"/>
      <c r="D17" s="157"/>
      <c r="E17" s="158"/>
      <c r="F17" s="157"/>
      <c r="G17" s="158"/>
      <c r="H17" s="158"/>
      <c r="I17" s="165">
        <v>0</v>
      </c>
      <c r="J17" s="165"/>
      <c r="K17" s="158"/>
      <c r="L17" s="165">
        <v>0</v>
      </c>
      <c r="M17" s="165"/>
      <c r="N17" s="165">
        <v>0</v>
      </c>
      <c r="O17" s="165"/>
      <c r="P17" s="165">
        <v>0</v>
      </c>
      <c r="Q17" s="165"/>
      <c r="R17" s="165">
        <v>0</v>
      </c>
    </row>
    <row r="18" spans="1:18">
      <c r="A18" s="157" t="s">
        <v>98</v>
      </c>
      <c r="B18" s="158"/>
      <c r="C18" s="175">
        <v>4454</v>
      </c>
      <c r="D18" s="157"/>
      <c r="E18" s="158"/>
      <c r="F18" s="157"/>
      <c r="G18" s="158"/>
      <c r="H18" s="158"/>
      <c r="I18" s="165">
        <v>4454</v>
      </c>
      <c r="J18" s="165"/>
      <c r="K18" s="158"/>
      <c r="L18" s="165">
        <v>4454</v>
      </c>
      <c r="M18" s="165"/>
      <c r="N18" s="165">
        <v>4454</v>
      </c>
      <c r="O18" s="165"/>
      <c r="P18" s="165">
        <v>0</v>
      </c>
      <c r="Q18" s="165"/>
      <c r="R18" s="165">
        <v>0</v>
      </c>
    </row>
    <row r="19" spans="1:18">
      <c r="A19" s="157" t="s">
        <v>99</v>
      </c>
      <c r="B19" s="158"/>
      <c r="C19" s="177">
        <v>31914</v>
      </c>
      <c r="D19" s="157"/>
      <c r="E19" s="158">
        <v>618</v>
      </c>
      <c r="F19" s="165">
        <v>2128</v>
      </c>
      <c r="G19" s="158"/>
      <c r="H19" s="158"/>
      <c r="I19" s="165">
        <v>34660</v>
      </c>
      <c r="J19" s="165"/>
      <c r="K19" s="158">
        <v>10979</v>
      </c>
      <c r="L19" s="165">
        <v>23681</v>
      </c>
      <c r="M19" s="165"/>
      <c r="N19" s="165">
        <v>31914</v>
      </c>
      <c r="O19" s="165"/>
      <c r="P19" s="165">
        <v>618</v>
      </c>
      <c r="Q19" s="165"/>
      <c r="R19" s="165">
        <v>2128</v>
      </c>
    </row>
    <row r="20" spans="1:18">
      <c r="A20" s="164" t="s">
        <v>100</v>
      </c>
      <c r="B20" s="158"/>
      <c r="C20" s="179"/>
      <c r="D20" s="167"/>
      <c r="E20" s="159"/>
      <c r="F20" s="179">
        <v>14470</v>
      </c>
      <c r="G20" s="159"/>
      <c r="H20" s="159"/>
      <c r="I20" s="166">
        <v>14470</v>
      </c>
      <c r="J20" s="166"/>
      <c r="K20" s="179">
        <v>14470</v>
      </c>
      <c r="L20" s="166">
        <v>0</v>
      </c>
      <c r="M20" s="167"/>
      <c r="N20" s="166">
        <v>0</v>
      </c>
      <c r="O20" s="159"/>
      <c r="P20" s="166">
        <v>0</v>
      </c>
      <c r="Q20" s="159"/>
      <c r="R20" s="166">
        <v>14470</v>
      </c>
    </row>
    <row r="21" spans="1:18">
      <c r="A21" s="157" t="s">
        <v>101</v>
      </c>
      <c r="B21" s="158"/>
      <c r="C21" s="177">
        <v>470485</v>
      </c>
      <c r="D21" s="158">
        <v>6</v>
      </c>
      <c r="E21" s="158">
        <v>11942</v>
      </c>
      <c r="F21" s="158">
        <v>19294</v>
      </c>
      <c r="G21" s="158">
        <v>246</v>
      </c>
      <c r="H21" s="158">
        <v>0</v>
      </c>
      <c r="I21" s="158">
        <v>501973</v>
      </c>
      <c r="J21" s="158">
        <v>0</v>
      </c>
      <c r="K21" s="158">
        <v>33932</v>
      </c>
      <c r="L21" s="158">
        <v>468041</v>
      </c>
      <c r="M21" s="158">
        <v>0</v>
      </c>
      <c r="N21" s="158">
        <v>470485</v>
      </c>
      <c r="O21" s="158">
        <v>0</v>
      </c>
      <c r="P21" s="158">
        <v>11942</v>
      </c>
      <c r="Q21" s="158">
        <v>0</v>
      </c>
      <c r="R21" s="158">
        <v>19294</v>
      </c>
    </row>
    <row r="22" spans="1:18">
      <c r="A22" s="157"/>
      <c r="B22" s="158"/>
      <c r="C22" s="17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>
      <c r="A23" s="157" t="s">
        <v>102</v>
      </c>
      <c r="B23" s="158"/>
      <c r="C23" s="177">
        <v>8625</v>
      </c>
      <c r="D23" s="157"/>
      <c r="E23" s="158"/>
      <c r="F23" s="157"/>
      <c r="G23" s="158"/>
      <c r="H23" s="158"/>
      <c r="I23" s="165">
        <v>8625</v>
      </c>
      <c r="J23" s="165"/>
      <c r="K23" s="158"/>
      <c r="L23" s="165">
        <v>8625</v>
      </c>
      <c r="M23" s="157"/>
      <c r="N23" s="165">
        <v>8625</v>
      </c>
      <c r="O23" s="157"/>
      <c r="P23" s="165">
        <v>0</v>
      </c>
      <c r="Q23" s="157"/>
      <c r="R23" s="165">
        <v>0</v>
      </c>
    </row>
    <row r="24" spans="1:18">
      <c r="A24" s="164" t="s">
        <v>103</v>
      </c>
      <c r="B24" s="158"/>
      <c r="C24" s="177">
        <v>4570</v>
      </c>
      <c r="D24" s="157"/>
      <c r="E24" s="158"/>
      <c r="F24" s="158"/>
      <c r="G24" s="158"/>
      <c r="H24" s="158"/>
      <c r="I24" s="165">
        <v>4570</v>
      </c>
      <c r="J24" s="165"/>
      <c r="K24" s="158"/>
      <c r="L24" s="165">
        <v>4570</v>
      </c>
      <c r="M24" s="157"/>
      <c r="N24" s="165">
        <v>4570</v>
      </c>
      <c r="O24" s="157"/>
      <c r="P24" s="165">
        <v>0</v>
      </c>
      <c r="Q24" s="157"/>
      <c r="R24" s="165">
        <v>0</v>
      </c>
    </row>
    <row r="25" spans="1:18">
      <c r="A25" s="157" t="s">
        <v>104</v>
      </c>
      <c r="B25" s="157"/>
      <c r="C25" s="177">
        <v>24707</v>
      </c>
      <c r="D25" s="164"/>
      <c r="E25" s="158"/>
      <c r="F25" s="157"/>
      <c r="G25" s="158"/>
      <c r="H25" s="158"/>
      <c r="I25" s="165">
        <v>24707</v>
      </c>
      <c r="J25" s="165"/>
      <c r="K25" s="157"/>
      <c r="L25" s="165">
        <v>24707</v>
      </c>
      <c r="M25" s="165"/>
      <c r="N25" s="165">
        <v>24707</v>
      </c>
      <c r="O25" s="165"/>
      <c r="P25" s="165">
        <v>0</v>
      </c>
      <c r="Q25" s="165"/>
      <c r="R25" s="165">
        <v>0</v>
      </c>
    </row>
    <row r="26" spans="1:18">
      <c r="A26" s="164" t="s">
        <v>105</v>
      </c>
      <c r="B26" s="158"/>
      <c r="C26" s="193">
        <v>7806</v>
      </c>
      <c r="D26" s="157"/>
      <c r="E26" s="158"/>
      <c r="F26" s="157"/>
      <c r="G26" s="158"/>
      <c r="H26" s="158"/>
      <c r="I26" s="165">
        <v>7806</v>
      </c>
      <c r="J26" s="165"/>
      <c r="K26" s="157"/>
      <c r="L26" s="165">
        <v>7806</v>
      </c>
      <c r="M26" s="165"/>
      <c r="N26" s="165">
        <v>7806</v>
      </c>
      <c r="O26" s="165"/>
      <c r="P26" s="165">
        <v>0</v>
      </c>
      <c r="Q26" s="165"/>
      <c r="R26" s="165">
        <v>0</v>
      </c>
    </row>
    <row r="27" spans="1:18">
      <c r="A27" s="157" t="s">
        <v>106</v>
      </c>
      <c r="B27" s="158"/>
      <c r="C27" s="177">
        <v>246</v>
      </c>
      <c r="D27" s="157"/>
      <c r="E27" s="158">
        <v>9</v>
      </c>
      <c r="F27" s="157"/>
      <c r="G27" s="158"/>
      <c r="H27" s="158"/>
      <c r="I27" s="165">
        <v>255</v>
      </c>
      <c r="J27" s="165"/>
      <c r="K27" s="157"/>
      <c r="L27" s="165">
        <v>255</v>
      </c>
      <c r="M27" s="165"/>
      <c r="N27" s="165">
        <v>246</v>
      </c>
      <c r="O27" s="165"/>
      <c r="P27" s="165">
        <v>9</v>
      </c>
      <c r="Q27" s="165"/>
      <c r="R27" s="165">
        <v>0</v>
      </c>
    </row>
    <row r="28" spans="1:18">
      <c r="A28" s="164" t="s">
        <v>107</v>
      </c>
      <c r="B28" s="158"/>
      <c r="C28" s="177">
        <v>2144</v>
      </c>
      <c r="D28" s="157"/>
      <c r="E28" s="158"/>
      <c r="F28" s="157"/>
      <c r="G28" s="158"/>
      <c r="H28" s="158"/>
      <c r="I28" s="165">
        <v>2144</v>
      </c>
      <c r="J28" s="165"/>
      <c r="K28" s="157"/>
      <c r="L28" s="165">
        <v>2144</v>
      </c>
      <c r="M28" s="165"/>
      <c r="N28" s="165">
        <v>2144</v>
      </c>
      <c r="O28" s="165"/>
      <c r="P28" s="165">
        <v>0</v>
      </c>
      <c r="Q28" s="165"/>
      <c r="R28" s="165">
        <v>0</v>
      </c>
    </row>
    <row r="29" spans="1:18">
      <c r="A29" s="164" t="s">
        <v>108</v>
      </c>
      <c r="B29" s="158"/>
      <c r="C29" s="179"/>
      <c r="D29" s="167"/>
      <c r="E29" s="159"/>
      <c r="F29" s="167"/>
      <c r="G29" s="159"/>
      <c r="H29" s="159"/>
      <c r="I29" s="166">
        <v>0</v>
      </c>
      <c r="J29" s="166"/>
      <c r="K29" s="167"/>
      <c r="L29" s="166">
        <v>0</v>
      </c>
      <c r="M29" s="166"/>
      <c r="N29" s="166">
        <v>0</v>
      </c>
      <c r="O29" s="166"/>
      <c r="P29" s="166">
        <v>0</v>
      </c>
      <c r="Q29" s="166"/>
      <c r="R29" s="166">
        <v>0</v>
      </c>
    </row>
    <row r="30" spans="1:18">
      <c r="A30" s="157" t="s">
        <v>109</v>
      </c>
      <c r="B30" s="158"/>
      <c r="C30" s="177">
        <v>48098</v>
      </c>
      <c r="D30" s="158">
        <v>0</v>
      </c>
      <c r="E30" s="158">
        <v>9</v>
      </c>
      <c r="F30" s="158">
        <v>0</v>
      </c>
      <c r="G30" s="158"/>
      <c r="H30" s="158">
        <v>0</v>
      </c>
      <c r="I30" s="158">
        <v>48107</v>
      </c>
      <c r="J30" s="158"/>
      <c r="K30" s="157"/>
      <c r="L30" s="158">
        <v>48107</v>
      </c>
      <c r="M30" s="158">
        <v>0</v>
      </c>
      <c r="N30" s="158">
        <v>48098</v>
      </c>
      <c r="O30" s="158">
        <v>0</v>
      </c>
      <c r="P30" s="158">
        <v>9</v>
      </c>
      <c r="Q30" s="158">
        <v>0</v>
      </c>
      <c r="R30" s="158">
        <v>0</v>
      </c>
    </row>
    <row r="31" spans="1:18">
      <c r="A31" s="157"/>
      <c r="B31" s="158"/>
      <c r="C31" s="177"/>
      <c r="D31" s="157"/>
      <c r="E31" s="158"/>
      <c r="F31" s="157"/>
      <c r="G31" s="158"/>
      <c r="H31" s="158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>
      <c r="A32" s="157"/>
      <c r="B32" s="157"/>
      <c r="C32" s="157"/>
      <c r="D32" s="157"/>
      <c r="E32" s="158"/>
      <c r="F32" s="157"/>
      <c r="G32" s="158"/>
      <c r="H32" s="158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9">
      <c r="A33" s="157"/>
      <c r="B33" s="158"/>
      <c r="C33" s="177"/>
      <c r="D33" s="157"/>
      <c r="E33" s="158"/>
      <c r="F33" s="157"/>
      <c r="G33" s="158"/>
      <c r="H33" s="158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>
      <c r="A34" s="157" t="s">
        <v>110</v>
      </c>
      <c r="B34" s="158"/>
      <c r="C34" s="177">
        <v>58</v>
      </c>
      <c r="D34" s="157"/>
      <c r="E34" s="117">
        <v>0</v>
      </c>
      <c r="F34" s="177">
        <v>350886</v>
      </c>
      <c r="G34" s="158">
        <v>0</v>
      </c>
      <c r="H34" s="158"/>
      <c r="I34" s="165">
        <v>350944</v>
      </c>
      <c r="J34" s="165"/>
      <c r="K34" s="158">
        <v>350944</v>
      </c>
      <c r="L34" s="165">
        <v>0</v>
      </c>
      <c r="M34" s="165"/>
      <c r="N34" s="165">
        <v>58</v>
      </c>
      <c r="O34" s="165">
        <v>0</v>
      </c>
      <c r="P34" s="165">
        <v>0</v>
      </c>
      <c r="Q34" s="165">
        <v>0</v>
      </c>
      <c r="R34" s="165">
        <v>350886</v>
      </c>
      <c r="S34" s="157"/>
    </row>
    <row r="35" spans="1:19">
      <c r="A35" s="164" t="s">
        <v>111</v>
      </c>
      <c r="B35" s="158"/>
      <c r="C35" s="177">
        <v>78346</v>
      </c>
      <c r="D35" s="157"/>
      <c r="E35" s="158">
        <v>0</v>
      </c>
      <c r="F35" s="158">
        <v>0</v>
      </c>
      <c r="G35" s="158"/>
      <c r="H35" s="158"/>
      <c r="I35" s="165">
        <v>78346</v>
      </c>
      <c r="J35" s="165"/>
      <c r="K35" s="158"/>
      <c r="L35" s="165">
        <v>78346</v>
      </c>
      <c r="M35" s="165"/>
      <c r="N35" s="165">
        <v>78346</v>
      </c>
      <c r="O35" s="165"/>
      <c r="P35" s="165">
        <v>0</v>
      </c>
      <c r="Q35" s="165"/>
      <c r="R35" s="165">
        <v>0</v>
      </c>
      <c r="S35" s="165">
        <v>0</v>
      </c>
    </row>
    <row r="36" spans="1:19">
      <c r="A36" s="164" t="s">
        <v>112</v>
      </c>
      <c r="B36" s="158"/>
      <c r="C36" s="158">
        <v>103</v>
      </c>
      <c r="D36" s="157"/>
      <c r="E36" s="117"/>
      <c r="F36" s="158"/>
      <c r="G36" s="158"/>
      <c r="H36" s="158"/>
      <c r="I36" s="165">
        <v>103</v>
      </c>
      <c r="J36" s="165"/>
      <c r="K36" s="165"/>
      <c r="L36" s="165">
        <v>103</v>
      </c>
      <c r="M36" s="165"/>
      <c r="N36" s="165">
        <v>103</v>
      </c>
      <c r="O36" s="165"/>
      <c r="P36" s="165">
        <v>0</v>
      </c>
      <c r="Q36" s="165"/>
      <c r="R36" s="165">
        <v>0</v>
      </c>
      <c r="S36" s="157"/>
    </row>
    <row r="37" spans="1:19">
      <c r="A37" s="157" t="s">
        <v>113</v>
      </c>
      <c r="B37" s="158"/>
      <c r="C37" s="158">
        <v>40115</v>
      </c>
      <c r="D37" s="157"/>
      <c r="E37" s="158">
        <v>2194</v>
      </c>
      <c r="F37" s="157"/>
      <c r="G37" s="158"/>
      <c r="H37" s="158"/>
      <c r="I37" s="165">
        <v>42309</v>
      </c>
      <c r="J37" s="165"/>
      <c r="K37" s="157"/>
      <c r="L37" s="165">
        <v>42309</v>
      </c>
      <c r="M37" s="165">
        <v>0</v>
      </c>
      <c r="N37" s="165">
        <v>40115</v>
      </c>
      <c r="O37" s="165"/>
      <c r="P37" s="165">
        <v>2194</v>
      </c>
      <c r="Q37" s="165"/>
      <c r="R37" s="165">
        <v>0</v>
      </c>
      <c r="S37" s="157"/>
    </row>
    <row r="38" spans="1:19">
      <c r="A38" s="157" t="s">
        <v>114</v>
      </c>
      <c r="B38" s="158"/>
      <c r="C38" s="177">
        <v>39003</v>
      </c>
      <c r="D38" s="157"/>
      <c r="E38" s="158">
        <v>24101</v>
      </c>
      <c r="F38" s="158">
        <v>74959</v>
      </c>
      <c r="G38" s="158"/>
      <c r="H38" s="158"/>
      <c r="I38" s="165">
        <v>138063</v>
      </c>
      <c r="J38" s="165"/>
      <c r="K38" s="157"/>
      <c r="L38" s="165">
        <v>138063</v>
      </c>
      <c r="M38" s="165"/>
      <c r="N38" s="165">
        <v>39003</v>
      </c>
      <c r="O38" s="165"/>
      <c r="P38" s="165">
        <v>24101</v>
      </c>
      <c r="Q38" s="165"/>
      <c r="R38" s="165"/>
      <c r="S38" s="157"/>
    </row>
    <row r="39" spans="1:19">
      <c r="A39" s="157"/>
      <c r="B39" s="158"/>
      <c r="C39" s="159"/>
      <c r="D39" s="167"/>
      <c r="E39" s="159"/>
      <c r="F39" s="167"/>
      <c r="G39" s="159"/>
      <c r="H39" s="159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57"/>
    </row>
    <row r="40" spans="1:19">
      <c r="A40" s="157" t="s">
        <v>115</v>
      </c>
      <c r="B40" s="158"/>
      <c r="C40" s="158">
        <v>157625</v>
      </c>
      <c r="D40" s="157"/>
      <c r="E40" s="158">
        <v>26295</v>
      </c>
      <c r="F40" s="158">
        <v>425845</v>
      </c>
      <c r="G40" s="158">
        <v>0</v>
      </c>
      <c r="H40" s="158">
        <v>0</v>
      </c>
      <c r="I40" s="158">
        <v>609765</v>
      </c>
      <c r="J40" s="158">
        <v>0</v>
      </c>
      <c r="K40" s="158">
        <v>350944</v>
      </c>
      <c r="L40" s="158">
        <v>258821</v>
      </c>
      <c r="M40" s="158">
        <v>0</v>
      </c>
      <c r="N40" s="158">
        <v>157625</v>
      </c>
      <c r="O40" s="158">
        <v>0</v>
      </c>
      <c r="P40" s="158">
        <v>26295</v>
      </c>
      <c r="Q40" s="158">
        <v>0</v>
      </c>
      <c r="R40" s="158">
        <v>350886</v>
      </c>
      <c r="S40" s="157"/>
    </row>
    <row r="41" spans="1:19">
      <c r="A41" s="157"/>
      <c r="B41" s="158"/>
      <c r="C41" s="158"/>
      <c r="D41" s="157"/>
      <c r="E41" s="158"/>
      <c r="F41" s="158"/>
      <c r="G41" s="158"/>
      <c r="H41" s="158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3.5" thickBot="1">
      <c r="A42" s="157" t="s">
        <v>116</v>
      </c>
      <c r="B42" s="158"/>
      <c r="C42" s="160">
        <v>676208</v>
      </c>
      <c r="D42" s="160">
        <v>6</v>
      </c>
      <c r="E42" s="160">
        <v>38246</v>
      </c>
      <c r="F42" s="160">
        <v>445139</v>
      </c>
      <c r="G42" s="160">
        <v>246</v>
      </c>
      <c r="H42" s="160">
        <v>0</v>
      </c>
      <c r="I42" s="160">
        <v>1159845</v>
      </c>
      <c r="J42" s="160">
        <v>0</v>
      </c>
      <c r="K42" s="160">
        <v>384876</v>
      </c>
      <c r="L42" s="160">
        <v>774969</v>
      </c>
      <c r="M42" s="160">
        <v>0</v>
      </c>
      <c r="N42" s="160">
        <v>676208</v>
      </c>
      <c r="O42" s="160">
        <v>0</v>
      </c>
      <c r="P42" s="160">
        <v>38246</v>
      </c>
      <c r="Q42" s="160">
        <v>0</v>
      </c>
      <c r="R42" s="160">
        <v>370180</v>
      </c>
      <c r="S42" s="157"/>
    </row>
    <row r="43" spans="1:19" ht="13.5" thickTop="1">
      <c r="A43" s="157"/>
      <c r="B43" s="157"/>
      <c r="C43" s="157"/>
      <c r="D43" s="157"/>
      <c r="E43" s="158"/>
      <c r="F43" s="157"/>
      <c r="G43" s="158"/>
      <c r="H43" s="158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>
      <c r="A44" s="157"/>
      <c r="B44" s="157"/>
      <c r="C44" s="165"/>
      <c r="D44" s="157"/>
      <c r="E44" s="157"/>
      <c r="F44" s="165"/>
      <c r="G44" s="158"/>
      <c r="H44" s="158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>
      <c r="A45" s="157"/>
      <c r="B45" s="157"/>
      <c r="C45" s="165"/>
      <c r="D45" s="157"/>
      <c r="E45" s="157"/>
      <c r="F45" s="157"/>
      <c r="G45" s="165"/>
      <c r="H45" s="16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97" t="s">
        <v>117</v>
      </c>
      <c r="M46" s="157"/>
      <c r="N46" s="157"/>
      <c r="O46" s="157"/>
      <c r="P46" s="157"/>
      <c r="Q46" s="157"/>
      <c r="R46" s="157"/>
      <c r="S46" s="157"/>
    </row>
    <row r="47" spans="1:19">
      <c r="A47" s="157" t="s">
        <v>70</v>
      </c>
      <c r="B47" s="157"/>
      <c r="C47" s="157"/>
      <c r="D47" s="157"/>
      <c r="E47" s="157"/>
      <c r="F47" s="157"/>
      <c r="G47" s="157"/>
      <c r="H47" s="157"/>
      <c r="I47" s="165">
        <v>0</v>
      </c>
      <c r="J47" s="165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>
      <c r="A48" s="157" t="s">
        <v>71</v>
      </c>
      <c r="B48" s="157"/>
      <c r="C48" s="172">
        <v>41729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73">
        <v>41743.60204849537</v>
      </c>
      <c r="R48" s="157"/>
      <c r="S48" s="157"/>
    </row>
    <row r="50" spans="1:21">
      <c r="A50" s="157"/>
      <c r="B50" s="157"/>
      <c r="C50" s="168" t="s">
        <v>72</v>
      </c>
      <c r="D50" s="157" t="s">
        <v>73</v>
      </c>
      <c r="E50" s="168" t="s">
        <v>74</v>
      </c>
      <c r="F50" s="168" t="s">
        <v>75</v>
      </c>
      <c r="G50" s="168" t="s">
        <v>76</v>
      </c>
      <c r="H50" s="168" t="s">
        <v>77</v>
      </c>
      <c r="I50" s="157" t="s">
        <v>78</v>
      </c>
      <c r="J50" s="186" t="s">
        <v>79</v>
      </c>
      <c r="K50" s="168" t="s">
        <v>80</v>
      </c>
      <c r="L50" s="157"/>
      <c r="M50" s="157"/>
      <c r="N50" s="157"/>
      <c r="O50" s="157"/>
      <c r="P50" s="157"/>
      <c r="Q50" s="157"/>
      <c r="R50" s="157"/>
      <c r="S50" s="157"/>
      <c r="T50" s="157"/>
      <c r="U50" s="157"/>
    </row>
    <row r="51" spans="1:21">
      <c r="A51" s="157" t="s">
        <v>81</v>
      </c>
      <c r="B51" s="157"/>
      <c r="C51" s="169">
        <v>41729</v>
      </c>
      <c r="D51" s="169">
        <v>41729</v>
      </c>
      <c r="E51" s="169">
        <v>41729</v>
      </c>
      <c r="F51" s="169">
        <v>41729</v>
      </c>
      <c r="G51" s="169">
        <v>41729</v>
      </c>
      <c r="H51" s="169">
        <v>41729</v>
      </c>
      <c r="I51" s="169">
        <v>41729</v>
      </c>
      <c r="J51" s="187" t="s">
        <v>82</v>
      </c>
      <c r="K51" s="170" t="s">
        <v>83</v>
      </c>
      <c r="L51" s="170" t="s">
        <v>84</v>
      </c>
      <c r="M51" s="170" t="s">
        <v>85</v>
      </c>
      <c r="N51" s="170" t="s">
        <v>72</v>
      </c>
      <c r="O51" s="171" t="s">
        <v>118</v>
      </c>
      <c r="P51" s="171" t="s">
        <v>119</v>
      </c>
      <c r="Q51" s="171" t="s">
        <v>87</v>
      </c>
      <c r="R51" s="171" t="s">
        <v>88</v>
      </c>
      <c r="S51" s="157"/>
      <c r="T51" s="157"/>
      <c r="U51" s="157"/>
    </row>
    <row r="52" spans="1:2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1">
      <c r="A53" s="157" t="s">
        <v>120</v>
      </c>
      <c r="B53" s="158"/>
      <c r="C53" s="177">
        <v>54420</v>
      </c>
      <c r="D53" s="157"/>
      <c r="E53" s="157"/>
      <c r="F53" s="157"/>
      <c r="G53" s="157"/>
      <c r="H53" s="157"/>
      <c r="I53" s="165">
        <v>54420</v>
      </c>
      <c r="J53" s="165">
        <v>13642</v>
      </c>
      <c r="K53" s="157"/>
      <c r="L53" s="165">
        <v>68062</v>
      </c>
      <c r="M53" s="165"/>
      <c r="N53" s="165"/>
      <c r="O53" s="158"/>
      <c r="P53" s="165">
        <v>0</v>
      </c>
      <c r="Q53" s="165"/>
      <c r="R53" s="165">
        <v>0</v>
      </c>
      <c r="S53" s="157"/>
      <c r="T53" s="157"/>
      <c r="U53" s="157"/>
    </row>
    <row r="54" spans="1:21">
      <c r="A54" s="157" t="s">
        <v>121</v>
      </c>
      <c r="B54" s="158"/>
      <c r="C54" s="175">
        <v>32032</v>
      </c>
      <c r="D54" s="157"/>
      <c r="E54" s="177">
        <v>6242</v>
      </c>
      <c r="F54" s="200">
        <v>47</v>
      </c>
      <c r="G54" s="157">
        <v>6</v>
      </c>
      <c r="H54" s="177"/>
      <c r="I54" s="165">
        <v>38327</v>
      </c>
      <c r="J54" s="203">
        <v>-13642</v>
      </c>
      <c r="K54" s="177">
        <v>6013</v>
      </c>
      <c r="L54" s="165">
        <v>18672</v>
      </c>
      <c r="M54" s="165"/>
      <c r="N54" s="165"/>
      <c r="O54" s="158"/>
      <c r="P54" s="165">
        <v>6242</v>
      </c>
      <c r="Q54" s="165"/>
      <c r="R54" s="165">
        <v>47</v>
      </c>
      <c r="S54" s="157"/>
      <c r="T54" s="157"/>
      <c r="U54" s="157"/>
    </row>
    <row r="55" spans="1:21">
      <c r="A55" s="157" t="s">
        <v>122</v>
      </c>
      <c r="B55" s="158"/>
      <c r="C55" s="193">
        <v>7041</v>
      </c>
      <c r="D55" s="157"/>
      <c r="E55" s="157">
        <v>37</v>
      </c>
      <c r="F55" s="200">
        <v>9</v>
      </c>
      <c r="G55" s="177">
        <v>45</v>
      </c>
      <c r="H55" s="177"/>
      <c r="I55" s="165">
        <v>7132</v>
      </c>
      <c r="J55" s="165"/>
      <c r="K55" s="157"/>
      <c r="L55" s="165">
        <v>7132</v>
      </c>
      <c r="M55" s="165"/>
      <c r="N55" s="165"/>
      <c r="O55" s="158"/>
      <c r="P55" s="165">
        <v>37</v>
      </c>
      <c r="Q55" s="165"/>
      <c r="R55" s="165">
        <v>9</v>
      </c>
      <c r="S55" s="157"/>
      <c r="T55" s="157"/>
      <c r="U55" s="193">
        <v>7262</v>
      </c>
    </row>
    <row r="56" spans="1:21">
      <c r="A56" s="164" t="s">
        <v>97</v>
      </c>
      <c r="B56" s="158"/>
      <c r="C56" s="177">
        <v>1943</v>
      </c>
      <c r="D56" s="157"/>
      <c r="E56" s="157"/>
      <c r="F56" s="177"/>
      <c r="G56" s="177"/>
      <c r="H56" s="177"/>
      <c r="I56" s="165">
        <v>1943</v>
      </c>
      <c r="J56" s="165"/>
      <c r="K56" s="157"/>
      <c r="L56" s="165">
        <v>1943</v>
      </c>
      <c r="M56" s="165"/>
      <c r="N56" s="165"/>
      <c r="O56" s="158"/>
      <c r="P56" s="165">
        <v>0</v>
      </c>
      <c r="Q56" s="165"/>
      <c r="R56" s="165">
        <v>0</v>
      </c>
      <c r="S56" s="157"/>
      <c r="T56" s="157"/>
      <c r="U56" s="157"/>
    </row>
    <row r="57" spans="1:21">
      <c r="A57" s="157" t="s">
        <v>123</v>
      </c>
      <c r="B57" s="158"/>
      <c r="C57" s="177">
        <v>9414</v>
      </c>
      <c r="D57" s="157"/>
      <c r="E57" s="157">
        <v>480</v>
      </c>
      <c r="F57" s="200">
        <v>8</v>
      </c>
      <c r="G57" s="177"/>
      <c r="H57" s="177"/>
      <c r="I57" s="165">
        <v>9902</v>
      </c>
      <c r="J57" s="165"/>
      <c r="K57" s="157"/>
      <c r="L57" s="165">
        <v>9902</v>
      </c>
      <c r="M57" s="165"/>
      <c r="N57" s="165"/>
      <c r="O57" s="158"/>
      <c r="P57" s="165">
        <v>480</v>
      </c>
      <c r="Q57" s="165"/>
      <c r="R57" s="165">
        <v>8</v>
      </c>
      <c r="S57" s="157"/>
      <c r="T57" s="157"/>
      <c r="U57" s="177">
        <v>9086</v>
      </c>
    </row>
    <row r="58" spans="1:21">
      <c r="A58" s="164" t="s">
        <v>124</v>
      </c>
      <c r="B58" s="158"/>
      <c r="C58" s="177">
        <v>240</v>
      </c>
      <c r="D58" s="157"/>
      <c r="E58" s="157">
        <v>240</v>
      </c>
      <c r="F58" s="177"/>
      <c r="G58" s="177"/>
      <c r="H58" s="177"/>
      <c r="I58" s="165">
        <v>480</v>
      </c>
      <c r="J58" s="165"/>
      <c r="K58" s="157"/>
      <c r="L58" s="165">
        <v>480</v>
      </c>
      <c r="M58" s="165"/>
      <c r="N58" s="165"/>
      <c r="O58" s="158"/>
      <c r="P58" s="165">
        <v>240</v>
      </c>
      <c r="Q58" s="165"/>
      <c r="R58" s="165"/>
      <c r="S58" s="157"/>
      <c r="T58" s="157"/>
      <c r="U58" s="157"/>
    </row>
    <row r="59" spans="1:21">
      <c r="A59" s="157" t="s">
        <v>125</v>
      </c>
      <c r="B59" s="158"/>
      <c r="C59" s="177">
        <v>8144</v>
      </c>
      <c r="D59" s="177">
        <v>21</v>
      </c>
      <c r="E59" s="177">
        <v>10393</v>
      </c>
      <c r="F59" s="177">
        <v>6</v>
      </c>
      <c r="G59" s="177">
        <v>175</v>
      </c>
      <c r="H59" s="177">
        <v>0</v>
      </c>
      <c r="I59" s="177">
        <v>18739</v>
      </c>
      <c r="J59" s="177"/>
      <c r="K59" s="177">
        <v>10979</v>
      </c>
      <c r="L59" s="177">
        <v>7760</v>
      </c>
      <c r="M59" s="165"/>
      <c r="N59" s="165"/>
      <c r="O59" s="158"/>
      <c r="P59" s="165">
        <v>10393</v>
      </c>
      <c r="Q59" s="165"/>
      <c r="R59" s="165">
        <v>6</v>
      </c>
      <c r="S59" s="157"/>
      <c r="T59" s="157"/>
      <c r="U59" s="157"/>
    </row>
    <row r="60" spans="1:21">
      <c r="A60" s="157" t="s">
        <v>126</v>
      </c>
      <c r="B60" s="158"/>
      <c r="C60" s="177">
        <v>8144</v>
      </c>
      <c r="D60" s="177">
        <v>21</v>
      </c>
      <c r="E60" s="177">
        <v>10393</v>
      </c>
      <c r="F60" s="177">
        <v>6</v>
      </c>
      <c r="G60" s="177">
        <v>175</v>
      </c>
      <c r="H60" s="177"/>
      <c r="I60" s="165">
        <v>18739</v>
      </c>
      <c r="J60" s="165"/>
      <c r="K60" s="165">
        <v>10979</v>
      </c>
      <c r="L60" s="165">
        <v>7760</v>
      </c>
      <c r="M60" s="165"/>
      <c r="N60" s="165"/>
      <c r="O60" s="158"/>
      <c r="P60" s="165">
        <v>10393</v>
      </c>
      <c r="Q60" s="165"/>
      <c r="R60" s="165">
        <v>6</v>
      </c>
      <c r="S60" s="165"/>
      <c r="T60" s="157"/>
      <c r="U60" s="157"/>
    </row>
    <row r="61" spans="1:21">
      <c r="A61" s="157" t="s">
        <v>127</v>
      </c>
      <c r="B61" s="158"/>
      <c r="C61" s="179">
        <v>15879</v>
      </c>
      <c r="D61" s="167"/>
      <c r="E61" s="179"/>
      <c r="F61" s="179">
        <v>5366</v>
      </c>
      <c r="G61" s="179"/>
      <c r="H61" s="179"/>
      <c r="I61" s="166">
        <v>21245</v>
      </c>
      <c r="J61" s="166"/>
      <c r="K61" s="166">
        <v>14470</v>
      </c>
      <c r="L61" s="166">
        <v>6775</v>
      </c>
      <c r="M61" s="166"/>
      <c r="N61" s="166"/>
      <c r="O61" s="166"/>
      <c r="P61" s="166">
        <v>0</v>
      </c>
      <c r="Q61" s="166"/>
      <c r="R61" s="166">
        <v>5366</v>
      </c>
      <c r="S61" s="157"/>
      <c r="T61" s="157"/>
      <c r="U61" s="157"/>
    </row>
    <row r="62" spans="1:21">
      <c r="A62" s="157"/>
      <c r="B62" s="158"/>
      <c r="C62" s="177"/>
      <c r="D62" s="157"/>
      <c r="E62" s="177"/>
      <c r="F62" s="177"/>
      <c r="G62" s="177"/>
      <c r="H62" s="177"/>
      <c r="I62" s="157"/>
      <c r="J62" s="157"/>
      <c r="K62" s="157"/>
      <c r="L62" s="157"/>
      <c r="M62" s="157"/>
      <c r="N62" s="157"/>
      <c r="O62" s="158"/>
      <c r="P62" s="157"/>
      <c r="Q62" s="157"/>
      <c r="R62" s="157"/>
      <c r="S62" s="157"/>
      <c r="T62" s="157"/>
      <c r="U62" s="157"/>
    </row>
    <row r="63" spans="1:21">
      <c r="A63" s="157" t="s">
        <v>128</v>
      </c>
      <c r="B63" s="158"/>
      <c r="C63" s="177">
        <v>129113</v>
      </c>
      <c r="D63" s="177">
        <v>21</v>
      </c>
      <c r="E63" s="177">
        <v>17392</v>
      </c>
      <c r="F63" s="177">
        <v>5436</v>
      </c>
      <c r="G63" s="177">
        <v>226</v>
      </c>
      <c r="H63" s="177">
        <v>0</v>
      </c>
      <c r="I63" s="177">
        <v>152188</v>
      </c>
      <c r="J63" s="177"/>
      <c r="K63" s="177">
        <v>31462</v>
      </c>
      <c r="L63" s="177">
        <v>120726</v>
      </c>
      <c r="M63" s="158">
        <v>0</v>
      </c>
      <c r="N63" s="158">
        <v>0</v>
      </c>
      <c r="O63" s="158">
        <v>0</v>
      </c>
      <c r="P63" s="158">
        <v>17392</v>
      </c>
      <c r="Q63" s="158">
        <v>0</v>
      </c>
      <c r="R63" s="158">
        <v>5436</v>
      </c>
      <c r="S63" s="157"/>
      <c r="T63" s="157"/>
      <c r="U63" s="157"/>
    </row>
    <row r="64" spans="1:21">
      <c r="A64" s="157"/>
      <c r="B64" s="158"/>
      <c r="C64" s="177"/>
      <c r="D64" s="177"/>
      <c r="E64" s="177"/>
      <c r="F64" s="177"/>
      <c r="G64" s="177"/>
      <c r="H64" s="177"/>
      <c r="I64" s="165"/>
      <c r="J64" s="165"/>
      <c r="K64" s="165"/>
      <c r="L64" s="177"/>
      <c r="M64" s="158"/>
      <c r="N64" s="158"/>
      <c r="O64" s="158"/>
      <c r="P64" s="158"/>
      <c r="Q64" s="158"/>
      <c r="R64" s="158"/>
      <c r="S64" s="157"/>
      <c r="T64" s="157"/>
      <c r="U64" s="157"/>
    </row>
    <row r="65" spans="1:25">
      <c r="A65" s="164" t="s">
        <v>129</v>
      </c>
      <c r="B65" s="158"/>
      <c r="C65" s="177">
        <v>155131</v>
      </c>
      <c r="D65" s="177"/>
      <c r="E65" s="177"/>
      <c r="F65" s="177"/>
      <c r="G65" s="177"/>
      <c r="H65" s="177"/>
      <c r="I65" s="165">
        <v>155131</v>
      </c>
      <c r="J65" s="165"/>
      <c r="K65" s="165"/>
      <c r="L65" s="165">
        <v>155131</v>
      </c>
      <c r="M65" s="158"/>
      <c r="N65" s="158"/>
      <c r="O65" s="158"/>
      <c r="P65" s="165">
        <v>0</v>
      </c>
      <c r="Q65" s="158"/>
      <c r="R65" s="158"/>
      <c r="S65" s="157"/>
      <c r="T65" s="157"/>
      <c r="U65" s="157"/>
      <c r="V65" s="157"/>
      <c r="W65" s="157"/>
      <c r="X65" s="157"/>
      <c r="Y65" s="157"/>
    </row>
    <row r="66" spans="1:25">
      <c r="A66" s="164" t="s">
        <v>130</v>
      </c>
      <c r="B66" s="158"/>
      <c r="C66" s="177"/>
      <c r="D66" s="177"/>
      <c r="E66" s="177"/>
      <c r="F66" s="177"/>
      <c r="G66" s="177"/>
      <c r="H66" s="177"/>
      <c r="I66" s="165">
        <v>0</v>
      </c>
      <c r="J66" s="165"/>
      <c r="K66" s="165"/>
      <c r="L66" s="165">
        <v>0</v>
      </c>
      <c r="M66" s="158"/>
      <c r="N66" s="158"/>
      <c r="O66" s="158"/>
      <c r="P66" s="165">
        <v>0</v>
      </c>
      <c r="Q66" s="158"/>
      <c r="R66" s="158"/>
      <c r="S66" s="157"/>
      <c r="T66" s="157"/>
      <c r="U66" s="157"/>
      <c r="V66" s="157"/>
      <c r="W66" s="157"/>
      <c r="X66" s="157"/>
      <c r="Y66" s="157"/>
    </row>
    <row r="67" spans="1:25">
      <c r="A67" s="164" t="s">
        <v>124</v>
      </c>
      <c r="B67" s="158"/>
      <c r="C67" s="177">
        <v>0</v>
      </c>
      <c r="D67" s="177"/>
      <c r="E67" s="177">
        <v>320</v>
      </c>
      <c r="F67" s="177"/>
      <c r="G67" s="177"/>
      <c r="H67" s="177"/>
      <c r="I67" s="165">
        <v>320</v>
      </c>
      <c r="J67" s="165"/>
      <c r="K67" s="165"/>
      <c r="L67" s="165">
        <v>320</v>
      </c>
      <c r="M67" s="158"/>
      <c r="N67" s="165"/>
      <c r="O67" s="158"/>
      <c r="P67" s="165">
        <v>320</v>
      </c>
      <c r="Q67" s="158"/>
      <c r="R67" s="158"/>
      <c r="S67" s="157"/>
      <c r="T67" s="157"/>
      <c r="U67" s="157"/>
      <c r="V67" s="157"/>
      <c r="W67" s="157"/>
      <c r="X67" s="157"/>
      <c r="Y67" s="157"/>
    </row>
    <row r="68" spans="1:25">
      <c r="A68" s="164" t="s">
        <v>131</v>
      </c>
      <c r="B68" s="158"/>
      <c r="C68" s="177"/>
      <c r="D68" s="157"/>
      <c r="E68" s="177"/>
      <c r="F68" s="177"/>
      <c r="G68" s="177"/>
      <c r="H68" s="177"/>
      <c r="I68" s="165">
        <v>0</v>
      </c>
      <c r="J68" s="165"/>
      <c r="K68" s="157"/>
      <c r="L68" s="165">
        <v>0</v>
      </c>
      <c r="M68" s="157"/>
      <c r="N68" s="157"/>
      <c r="O68" s="158"/>
      <c r="P68" s="165">
        <v>0</v>
      </c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>
      <c r="A69" s="157" t="s">
        <v>132</v>
      </c>
      <c r="B69" s="158"/>
      <c r="C69" s="177">
        <v>28685</v>
      </c>
      <c r="D69" s="157"/>
      <c r="E69" s="177"/>
      <c r="F69" s="177"/>
      <c r="G69" s="177"/>
      <c r="H69" s="177"/>
      <c r="I69" s="165">
        <v>28685</v>
      </c>
      <c r="J69" s="165"/>
      <c r="K69" s="157"/>
      <c r="L69" s="165">
        <v>28685</v>
      </c>
      <c r="M69" s="157"/>
      <c r="N69" s="157"/>
      <c r="O69" s="158"/>
      <c r="P69" s="165"/>
      <c r="Q69" s="157"/>
      <c r="R69" s="157"/>
      <c r="S69" s="157"/>
      <c r="T69" s="157"/>
      <c r="U69" s="157"/>
      <c r="V69" s="157"/>
      <c r="W69" s="157"/>
      <c r="X69" s="157"/>
      <c r="Y69" s="157"/>
    </row>
    <row r="70" spans="1:25">
      <c r="A70" s="164" t="s">
        <v>133</v>
      </c>
      <c r="B70" s="158"/>
      <c r="C70" s="177">
        <v>24707</v>
      </c>
      <c r="D70" s="157"/>
      <c r="E70" s="177"/>
      <c r="F70" s="177"/>
      <c r="G70" s="177"/>
      <c r="H70" s="177"/>
      <c r="I70" s="165">
        <v>24707</v>
      </c>
      <c r="J70" s="165"/>
      <c r="K70" s="157"/>
      <c r="L70" s="165">
        <v>24707</v>
      </c>
      <c r="M70" s="165"/>
      <c r="N70" s="165"/>
      <c r="O70" s="165"/>
      <c r="P70" s="165">
        <v>0</v>
      </c>
      <c r="Q70" s="165"/>
      <c r="R70" s="165">
        <v>0</v>
      </c>
      <c r="S70" s="157"/>
      <c r="T70" s="157"/>
      <c r="U70" s="157"/>
      <c r="V70" s="157"/>
      <c r="W70" s="157"/>
      <c r="X70" s="157"/>
      <c r="Y70" s="157"/>
    </row>
    <row r="71" spans="1:25">
      <c r="A71" s="164" t="s">
        <v>134</v>
      </c>
      <c r="B71" s="158"/>
      <c r="C71" s="176"/>
      <c r="D71" s="167"/>
      <c r="E71" s="179">
        <v>2132</v>
      </c>
      <c r="F71" s="167"/>
      <c r="G71" s="167"/>
      <c r="H71" s="167"/>
      <c r="I71" s="166">
        <v>2132</v>
      </c>
      <c r="J71" s="166"/>
      <c r="K71" s="166">
        <v>0</v>
      </c>
      <c r="L71" s="166">
        <v>2132</v>
      </c>
      <c r="M71" s="167"/>
      <c r="N71" s="167"/>
      <c r="O71" s="166"/>
      <c r="P71" s="166">
        <v>2132</v>
      </c>
      <c r="Q71" s="166"/>
      <c r="R71" s="166">
        <v>0</v>
      </c>
      <c r="S71" s="157"/>
      <c r="T71" s="157"/>
      <c r="U71" s="157"/>
      <c r="V71" s="157"/>
      <c r="W71" s="157"/>
      <c r="X71" s="157"/>
      <c r="Y71" s="157"/>
    </row>
    <row r="72" spans="1:25">
      <c r="A72" s="157" t="s">
        <v>135</v>
      </c>
      <c r="B72" s="158"/>
      <c r="C72" s="177">
        <v>208523</v>
      </c>
      <c r="D72" s="177">
        <v>0</v>
      </c>
      <c r="E72" s="177">
        <v>2452</v>
      </c>
      <c r="F72" s="177">
        <v>0</v>
      </c>
      <c r="G72" s="177"/>
      <c r="H72" s="177">
        <v>0</v>
      </c>
      <c r="I72" s="177">
        <v>210975</v>
      </c>
      <c r="J72" s="177"/>
      <c r="K72" s="177">
        <v>0</v>
      </c>
      <c r="L72" s="177">
        <v>210975</v>
      </c>
      <c r="M72" s="158">
        <v>0</v>
      </c>
      <c r="N72" s="158">
        <v>0</v>
      </c>
      <c r="O72" s="158">
        <v>0</v>
      </c>
      <c r="P72" s="158">
        <v>2452</v>
      </c>
      <c r="Q72" s="158">
        <v>0</v>
      </c>
      <c r="R72" s="158">
        <v>0</v>
      </c>
      <c r="S72" s="157"/>
      <c r="T72" s="157"/>
      <c r="U72" s="157"/>
      <c r="V72" s="157"/>
      <c r="W72" s="157"/>
      <c r="X72" s="157"/>
      <c r="Y72" s="157"/>
    </row>
    <row r="73" spans="1:25">
      <c r="A73" s="157"/>
      <c r="B73" s="158"/>
      <c r="C73" s="177"/>
      <c r="D73" s="157"/>
      <c r="E73" s="17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>
      <c r="A74" s="157" t="s">
        <v>136</v>
      </c>
      <c r="B74" s="158"/>
      <c r="C74" s="177">
        <v>0</v>
      </c>
      <c r="D74" s="157"/>
      <c r="E74" s="17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>
      <c r="A75" s="157"/>
      <c r="B75" s="158"/>
      <c r="C75" s="177"/>
      <c r="D75" s="157"/>
      <c r="E75" s="17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>
      <c r="A76" s="157" t="s">
        <v>137</v>
      </c>
      <c r="B76" s="158"/>
      <c r="C76" s="177">
        <v>0</v>
      </c>
      <c r="D76" s="157"/>
      <c r="E76" s="177"/>
      <c r="F76" s="157"/>
      <c r="G76" s="157"/>
      <c r="H76" s="157"/>
      <c r="I76" s="157"/>
      <c r="J76" s="157"/>
      <c r="K76" s="177">
        <v>3565</v>
      </c>
      <c r="L76" s="177">
        <v>3565</v>
      </c>
      <c r="M76" s="158"/>
      <c r="N76" s="158"/>
      <c r="O76" s="158"/>
      <c r="P76" s="158"/>
      <c r="Q76" s="158"/>
      <c r="R76" s="158">
        <v>0</v>
      </c>
      <c r="S76" s="157"/>
      <c r="T76" s="157"/>
      <c r="U76" s="157"/>
      <c r="V76" s="157"/>
      <c r="W76" s="157"/>
      <c r="X76" s="157"/>
      <c r="Y76" s="157"/>
    </row>
    <row r="77" spans="1:25">
      <c r="A77" s="157"/>
      <c r="B77" s="158"/>
      <c r="C77" s="177"/>
      <c r="D77" s="157"/>
      <c r="E77" s="177"/>
      <c r="F77" s="157"/>
      <c r="G77" s="157"/>
      <c r="H77" s="157"/>
      <c r="I77" s="157"/>
      <c r="J77" s="157"/>
      <c r="K77" s="17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>
      <c r="A78" s="157"/>
      <c r="B78" s="157"/>
      <c r="C78" s="157"/>
      <c r="D78" s="157"/>
      <c r="E78" s="17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>
      <c r="A79" s="157"/>
      <c r="B79" s="158"/>
      <c r="C79" s="177"/>
      <c r="D79" s="157"/>
      <c r="E79" s="17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>
      <c r="A80" s="157"/>
      <c r="B80" s="157"/>
      <c r="C80" s="157"/>
      <c r="D80" s="157"/>
      <c r="E80" s="17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64" t="s">
        <v>138</v>
      </c>
      <c r="W80" s="157"/>
      <c r="X80" s="157"/>
      <c r="Y80" s="157" t="s">
        <v>139</v>
      </c>
    </row>
    <row r="81" spans="1:29" ht="15">
      <c r="A81" s="157" t="s">
        <v>140</v>
      </c>
      <c r="B81" s="158"/>
      <c r="C81" s="177">
        <v>146755</v>
      </c>
      <c r="D81" s="158">
        <v>53</v>
      </c>
      <c r="E81" s="177">
        <v>33000</v>
      </c>
      <c r="F81" s="158">
        <v>128515</v>
      </c>
      <c r="G81" s="158">
        <v>900</v>
      </c>
      <c r="H81" s="158">
        <v>0</v>
      </c>
      <c r="I81" s="158">
        <v>309223</v>
      </c>
      <c r="J81" s="158"/>
      <c r="K81" s="158">
        <v>180708</v>
      </c>
      <c r="L81" s="177">
        <v>128515</v>
      </c>
      <c r="M81" s="158"/>
      <c r="N81" s="158"/>
      <c r="O81" s="158"/>
      <c r="P81" s="165">
        <v>33000</v>
      </c>
      <c r="Q81" s="158">
        <v>0</v>
      </c>
      <c r="R81" s="158">
        <v>128515</v>
      </c>
      <c r="S81" s="157"/>
      <c r="T81" s="157"/>
      <c r="U81" s="157"/>
      <c r="V81" s="181" t="s">
        <v>45</v>
      </c>
      <c r="W81" s="182"/>
      <c r="X81" s="183">
        <v>128515</v>
      </c>
      <c r="Y81" s="183">
        <v>124547</v>
      </c>
    </row>
    <row r="82" spans="1:29" ht="15">
      <c r="A82" s="157" t="s">
        <v>141</v>
      </c>
      <c r="B82" s="158"/>
      <c r="C82" s="177">
        <v>146755</v>
      </c>
      <c r="D82" s="158">
        <v>53</v>
      </c>
      <c r="E82" s="177">
        <v>33000</v>
      </c>
      <c r="F82" s="177">
        <v>128515</v>
      </c>
      <c r="G82" s="177">
        <v>900</v>
      </c>
      <c r="H82" s="177"/>
      <c r="I82" s="165">
        <v>309223</v>
      </c>
      <c r="J82" s="165"/>
      <c r="K82" s="165">
        <v>180708</v>
      </c>
      <c r="L82" s="165">
        <v>128515</v>
      </c>
      <c r="M82" s="165"/>
      <c r="N82" s="165"/>
      <c r="O82" s="157"/>
      <c r="P82" s="165">
        <v>33000</v>
      </c>
      <c r="Q82" s="165"/>
      <c r="R82" s="158">
        <v>128515</v>
      </c>
      <c r="S82" s="157"/>
      <c r="T82" s="157"/>
      <c r="U82" s="157"/>
      <c r="V82" s="181" t="s">
        <v>46</v>
      </c>
      <c r="W82" s="182"/>
      <c r="X82" s="183">
        <v>-10870</v>
      </c>
      <c r="Y82" s="183">
        <v>-10870</v>
      </c>
    </row>
    <row r="83" spans="1:29" ht="15">
      <c r="A83" s="157" t="s">
        <v>142</v>
      </c>
      <c r="B83" s="158"/>
      <c r="C83" s="177"/>
      <c r="D83" s="157"/>
      <c r="E83" s="177"/>
      <c r="F83" s="157"/>
      <c r="G83" s="157"/>
      <c r="H83" s="157"/>
      <c r="I83" s="165">
        <v>0</v>
      </c>
      <c r="J83" s="165"/>
      <c r="K83" s="165">
        <v>0</v>
      </c>
      <c r="L83" s="165">
        <v>0</v>
      </c>
      <c r="M83" s="165"/>
      <c r="N83" s="165"/>
      <c r="O83" s="165"/>
      <c r="P83" s="165">
        <v>0</v>
      </c>
      <c r="Q83" s="165"/>
      <c r="R83" s="158">
        <v>0</v>
      </c>
      <c r="S83" s="157"/>
      <c r="T83" s="157"/>
      <c r="U83" s="157"/>
      <c r="V83" s="181" t="s">
        <v>47</v>
      </c>
      <c r="W83" s="182"/>
      <c r="X83" s="183">
        <v>178844</v>
      </c>
      <c r="Y83" s="183">
        <v>181431</v>
      </c>
    </row>
    <row r="84" spans="1:29" ht="15">
      <c r="A84" s="157" t="s">
        <v>143</v>
      </c>
      <c r="B84" s="158"/>
      <c r="C84" s="175">
        <v>87718</v>
      </c>
      <c r="D84" s="157"/>
      <c r="E84" s="177"/>
      <c r="F84" s="177">
        <v>167974</v>
      </c>
      <c r="G84" s="177"/>
      <c r="H84" s="177"/>
      <c r="I84" s="165">
        <v>255692</v>
      </c>
      <c r="J84" s="165"/>
      <c r="K84" s="165">
        <v>87718</v>
      </c>
      <c r="L84" s="165">
        <v>167974</v>
      </c>
      <c r="M84" s="165"/>
      <c r="N84" s="165"/>
      <c r="O84" s="165"/>
      <c r="P84" s="165">
        <v>0</v>
      </c>
      <c r="Q84" s="165"/>
      <c r="R84" s="158">
        <v>167974</v>
      </c>
      <c r="S84" s="157"/>
      <c r="T84" s="157"/>
      <c r="U84" s="157"/>
      <c r="V84" s="181" t="s">
        <v>48</v>
      </c>
      <c r="W84" s="182"/>
      <c r="X84" s="183">
        <v>137149</v>
      </c>
      <c r="Y84" s="183">
        <v>129049</v>
      </c>
    </row>
    <row r="85" spans="1:29" ht="15">
      <c r="A85" s="157" t="s">
        <v>144</v>
      </c>
      <c r="B85" s="158"/>
      <c r="C85" s="177">
        <v>107244</v>
      </c>
      <c r="D85" s="158">
        <v>-68</v>
      </c>
      <c r="E85" s="177">
        <v>-12703</v>
      </c>
      <c r="F85" s="175">
        <v>164128</v>
      </c>
      <c r="G85" s="175">
        <v>-350</v>
      </c>
      <c r="H85" s="175"/>
      <c r="I85" s="165">
        <v>258251</v>
      </c>
      <c r="J85" s="165"/>
      <c r="K85" s="165">
        <v>94123</v>
      </c>
      <c r="L85" s="165">
        <v>164128</v>
      </c>
      <c r="M85" s="165"/>
      <c r="N85" s="165"/>
      <c r="O85" s="165"/>
      <c r="P85" s="165">
        <v>-12703</v>
      </c>
      <c r="Q85" s="165">
        <v>0</v>
      </c>
      <c r="R85" s="158">
        <v>164128</v>
      </c>
      <c r="S85" s="157"/>
      <c r="T85" s="157"/>
      <c r="U85" s="157"/>
      <c r="V85" s="181" t="s">
        <v>49</v>
      </c>
      <c r="W85" s="182"/>
      <c r="X85" s="183">
        <v>-15512</v>
      </c>
      <c r="Y85" s="183">
        <v>-16373</v>
      </c>
    </row>
    <row r="86" spans="1:29">
      <c r="A86" s="157" t="s">
        <v>145</v>
      </c>
      <c r="B86" s="158"/>
      <c r="C86" s="177"/>
      <c r="D86" s="177"/>
      <c r="E86" s="177"/>
      <c r="F86" s="175">
        <v>-15512</v>
      </c>
      <c r="G86" s="175">
        <v>62</v>
      </c>
      <c r="H86" s="175"/>
      <c r="I86" s="165">
        <v>-15450</v>
      </c>
      <c r="J86" s="165"/>
      <c r="K86" s="165">
        <v>62</v>
      </c>
      <c r="L86" s="165">
        <v>-15512</v>
      </c>
      <c r="M86" s="165"/>
      <c r="N86" s="165"/>
      <c r="O86" s="165"/>
      <c r="P86" s="165">
        <v>0</v>
      </c>
      <c r="Q86" s="165">
        <v>0</v>
      </c>
      <c r="R86" s="158">
        <v>-15512</v>
      </c>
      <c r="S86" s="157"/>
      <c r="T86" s="157"/>
      <c r="U86" s="157"/>
      <c r="V86" s="157"/>
      <c r="W86" s="157"/>
      <c r="X86" s="157"/>
      <c r="Y86" s="157"/>
    </row>
    <row r="87" spans="1:29">
      <c r="A87" s="157" t="s">
        <v>146</v>
      </c>
      <c r="B87" s="158"/>
      <c r="C87" s="179">
        <v>-3145</v>
      </c>
      <c r="D87" s="167"/>
      <c r="E87" s="179">
        <v>-1895</v>
      </c>
      <c r="F87" s="176">
        <v>-5402</v>
      </c>
      <c r="G87" s="176">
        <v>-592</v>
      </c>
      <c r="H87" s="176"/>
      <c r="I87" s="166">
        <v>-11034</v>
      </c>
      <c r="J87" s="166"/>
      <c r="K87" s="166">
        <v>-5632</v>
      </c>
      <c r="L87" s="166">
        <v>-5402</v>
      </c>
      <c r="M87" s="166"/>
      <c r="N87" s="166"/>
      <c r="O87" s="166">
        <v>0</v>
      </c>
      <c r="P87" s="166">
        <v>-1895</v>
      </c>
      <c r="Q87" s="166">
        <v>0</v>
      </c>
      <c r="R87" s="159">
        <v>-5402</v>
      </c>
      <c r="S87" s="157"/>
      <c r="T87" s="157"/>
      <c r="U87" s="157">
        <v>-3038</v>
      </c>
      <c r="V87" s="157"/>
      <c r="W87" s="157"/>
      <c r="X87" s="157"/>
      <c r="Y87" s="157"/>
    </row>
    <row r="88" spans="1:29">
      <c r="A88" s="157"/>
      <c r="B88" s="158"/>
      <c r="C88" s="158"/>
      <c r="D88" s="157"/>
      <c r="E88" s="158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9">
      <c r="A89" s="157" t="s">
        <v>147</v>
      </c>
      <c r="B89" s="158"/>
      <c r="C89" s="158">
        <v>338572</v>
      </c>
      <c r="D89" s="158">
        <v>-15</v>
      </c>
      <c r="E89" s="158">
        <v>18402</v>
      </c>
      <c r="F89" s="158">
        <v>439703</v>
      </c>
      <c r="G89" s="158">
        <v>20</v>
      </c>
      <c r="H89" s="158">
        <v>0</v>
      </c>
      <c r="I89" s="158">
        <v>796682</v>
      </c>
      <c r="J89" s="158">
        <v>0</v>
      </c>
      <c r="K89" s="158">
        <v>356979</v>
      </c>
      <c r="L89" s="158">
        <v>439703</v>
      </c>
      <c r="M89" s="158"/>
      <c r="N89" s="158"/>
      <c r="O89" s="158">
        <v>0</v>
      </c>
      <c r="P89" s="158">
        <v>18402</v>
      </c>
      <c r="Q89" s="158"/>
      <c r="R89" s="158">
        <v>439703</v>
      </c>
      <c r="S89" s="157"/>
      <c r="T89" s="157"/>
      <c r="U89" s="157"/>
      <c r="V89" s="157"/>
      <c r="W89" s="157"/>
      <c r="X89" s="157"/>
      <c r="Y89" s="157"/>
    </row>
    <row r="90" spans="1:29">
      <c r="A90" s="157"/>
      <c r="B90" s="158"/>
      <c r="C90" s="158"/>
      <c r="D90" s="157"/>
      <c r="E90" s="158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spans="1:29" ht="13.5" thickBot="1">
      <c r="A91" s="157" t="s">
        <v>148</v>
      </c>
      <c r="B91" s="158"/>
      <c r="C91" s="160">
        <v>676208</v>
      </c>
      <c r="D91" s="160">
        <v>6</v>
      </c>
      <c r="E91" s="160">
        <v>38246</v>
      </c>
      <c r="F91" s="160">
        <v>445139</v>
      </c>
      <c r="G91" s="160">
        <v>246</v>
      </c>
      <c r="H91" s="160">
        <v>0</v>
      </c>
      <c r="I91" s="160">
        <v>1159845</v>
      </c>
      <c r="J91" s="160">
        <v>0</v>
      </c>
      <c r="K91" s="160">
        <v>384876</v>
      </c>
      <c r="L91" s="160">
        <v>774969</v>
      </c>
      <c r="M91" s="160">
        <v>0</v>
      </c>
      <c r="N91" s="160">
        <v>0</v>
      </c>
      <c r="O91" s="160">
        <v>0</v>
      </c>
      <c r="P91" s="160">
        <v>38246</v>
      </c>
      <c r="Q91" s="160">
        <v>0</v>
      </c>
      <c r="R91" s="160">
        <v>445139</v>
      </c>
      <c r="S91" s="157"/>
      <c r="T91" s="157"/>
      <c r="U91" s="157"/>
      <c r="V91" s="157"/>
      <c r="W91" s="157"/>
      <c r="X91" s="157"/>
      <c r="Y91" s="157"/>
    </row>
    <row r="92" spans="1:29" ht="13.5" thickTop="1">
      <c r="A92" s="157"/>
      <c r="B92" s="158"/>
      <c r="C92" s="158"/>
      <c r="D92" s="157"/>
      <c r="E92" s="158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9">
      <c r="A93" s="157"/>
      <c r="B93" s="158"/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/>
      <c r="N93" s="158"/>
      <c r="O93" s="158">
        <v>0</v>
      </c>
      <c r="P93" s="158">
        <v>0</v>
      </c>
      <c r="Q93" s="158"/>
      <c r="R93" s="158">
        <v>-74959</v>
      </c>
      <c r="S93" s="157"/>
      <c r="T93" s="157"/>
      <c r="U93" s="157"/>
      <c r="V93" s="157"/>
      <c r="W93" s="157"/>
      <c r="X93" s="157"/>
      <c r="Y93" s="157"/>
    </row>
    <row r="94" spans="1:29">
      <c r="A94" s="157"/>
      <c r="B94" s="158"/>
      <c r="C94" s="158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65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9">
      <c r="A95" s="157" t="s">
        <v>117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9">
      <c r="A96" s="157" t="s">
        <v>71</v>
      </c>
      <c r="B96" s="157"/>
      <c r="C96" s="172">
        <v>41729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73">
        <v>41743.60204849537</v>
      </c>
      <c r="Q96" s="157"/>
      <c r="R96" s="157"/>
      <c r="S96" s="157"/>
      <c r="T96" s="157"/>
      <c r="U96" s="157"/>
      <c r="V96" s="157"/>
      <c r="W96" s="157"/>
      <c r="X96" s="157"/>
      <c r="Y96" s="157"/>
      <c r="AA96" s="106" t="s">
        <v>71</v>
      </c>
      <c r="AC96" s="107">
        <v>41729</v>
      </c>
    </row>
    <row r="97" spans="1:37">
      <c r="A97" s="164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AA97" s="114"/>
    </row>
    <row r="98" spans="1:37">
      <c r="A98" s="157"/>
      <c r="B98" s="157"/>
      <c r="C98" s="168" t="s">
        <v>72</v>
      </c>
      <c r="D98" s="157" t="s">
        <v>73</v>
      </c>
      <c r="E98" s="178" t="s">
        <v>74</v>
      </c>
      <c r="F98" s="168" t="s">
        <v>75</v>
      </c>
      <c r="G98" s="168" t="s">
        <v>76</v>
      </c>
      <c r="H98" s="168" t="s">
        <v>77</v>
      </c>
      <c r="I98" s="157" t="s">
        <v>78</v>
      </c>
      <c r="J98" s="168" t="s">
        <v>80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AC98" s="108" t="s">
        <v>72</v>
      </c>
      <c r="AD98" s="106" t="s">
        <v>73</v>
      </c>
      <c r="AE98" s="119" t="s">
        <v>74</v>
      </c>
      <c r="AF98" s="108" t="s">
        <v>75</v>
      </c>
      <c r="AG98" s="108" t="s">
        <v>76</v>
      </c>
      <c r="AH98" s="108" t="s">
        <v>77</v>
      </c>
      <c r="AI98" s="106" t="s">
        <v>78</v>
      </c>
      <c r="AJ98" s="108" t="s">
        <v>80</v>
      </c>
    </row>
    <row r="99" spans="1:37">
      <c r="A99" s="157" t="s">
        <v>81</v>
      </c>
      <c r="B99" s="157"/>
      <c r="C99" s="169">
        <v>41729</v>
      </c>
      <c r="D99" s="169">
        <v>41729</v>
      </c>
      <c r="E99" s="169">
        <v>41729</v>
      </c>
      <c r="F99" s="169">
        <v>41729</v>
      </c>
      <c r="G99" s="169">
        <v>41729</v>
      </c>
      <c r="H99" s="169">
        <v>41729</v>
      </c>
      <c r="I99" s="169">
        <v>41729</v>
      </c>
      <c r="J99" s="170" t="s">
        <v>83</v>
      </c>
      <c r="K99" s="170" t="s">
        <v>84</v>
      </c>
      <c r="L99" s="157"/>
      <c r="M99" s="171" t="s">
        <v>72</v>
      </c>
      <c r="N99" s="171" t="s">
        <v>118</v>
      </c>
      <c r="O99" s="171" t="s">
        <v>119</v>
      </c>
      <c r="P99" s="171" t="s">
        <v>87</v>
      </c>
      <c r="Q99" s="171" t="s">
        <v>88</v>
      </c>
      <c r="R99" s="157"/>
      <c r="S99" s="157"/>
      <c r="T99" s="157"/>
      <c r="U99" s="157"/>
      <c r="V99" s="157"/>
      <c r="W99" s="157"/>
      <c r="X99" s="157"/>
      <c r="AA99" s="106" t="s">
        <v>81</v>
      </c>
      <c r="AC99" s="109">
        <v>41729</v>
      </c>
      <c r="AD99" s="109">
        <v>41729</v>
      </c>
      <c r="AE99" s="109">
        <v>41729</v>
      </c>
      <c r="AF99" s="109">
        <v>41729</v>
      </c>
      <c r="AG99" s="109">
        <v>41729</v>
      </c>
      <c r="AH99" s="109">
        <v>41729</v>
      </c>
      <c r="AI99" s="109">
        <v>41729</v>
      </c>
      <c r="AJ99" s="110" t="s">
        <v>83</v>
      </c>
      <c r="AK99" s="110" t="s">
        <v>84</v>
      </c>
    </row>
    <row r="100" spans="1:37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37" ht="15">
      <c r="A101" s="157" t="s">
        <v>149</v>
      </c>
      <c r="B101" s="158"/>
      <c r="C101" s="158">
        <v>82220</v>
      </c>
      <c r="D101" s="157"/>
      <c r="E101" s="177">
        <v>1222</v>
      </c>
      <c r="F101" s="157"/>
      <c r="G101" s="158"/>
      <c r="H101" s="158"/>
      <c r="I101" s="165">
        <v>83442</v>
      </c>
      <c r="J101" s="177">
        <v>884</v>
      </c>
      <c r="K101" s="165">
        <v>82558</v>
      </c>
      <c r="L101" s="157"/>
      <c r="M101" s="165"/>
      <c r="N101" s="165"/>
      <c r="O101" s="165">
        <v>1222</v>
      </c>
      <c r="P101" s="165"/>
      <c r="Q101" s="165">
        <v>0</v>
      </c>
      <c r="R101" s="157"/>
      <c r="S101" s="157"/>
      <c r="T101" s="157"/>
      <c r="U101" s="157"/>
      <c r="V101" s="157"/>
      <c r="W101" s="157"/>
      <c r="X101" s="157"/>
      <c r="AA101" s="106" t="s">
        <v>149</v>
      </c>
      <c r="AB101" s="111"/>
      <c r="AC101" s="111">
        <f>C101-C154</f>
        <v>82220</v>
      </c>
      <c r="AD101" s="111">
        <f t="shared" ref="AD101:AK101" si="0">D101-D154</f>
        <v>0</v>
      </c>
      <c r="AE101" s="113">
        <f t="shared" si="0"/>
        <v>1222</v>
      </c>
      <c r="AF101" s="111">
        <f t="shared" si="0"/>
        <v>0</v>
      </c>
      <c r="AG101" s="111">
        <f t="shared" si="0"/>
        <v>0</v>
      </c>
      <c r="AH101" s="111">
        <f t="shared" si="0"/>
        <v>0</v>
      </c>
      <c r="AI101" s="111">
        <f t="shared" si="0"/>
        <v>83442</v>
      </c>
      <c r="AJ101" s="113">
        <f t="shared" si="0"/>
        <v>884</v>
      </c>
      <c r="AK101" s="111">
        <f t="shared" si="0"/>
        <v>62865.067555402769</v>
      </c>
    </row>
    <row r="102" spans="1:37" ht="15">
      <c r="A102" s="157" t="s">
        <v>150</v>
      </c>
      <c r="B102" s="162"/>
      <c r="C102" s="158">
        <v>2700</v>
      </c>
      <c r="D102" s="157"/>
      <c r="E102" s="177"/>
      <c r="F102" s="157"/>
      <c r="G102" s="158"/>
      <c r="H102" s="158"/>
      <c r="I102" s="165">
        <v>2700</v>
      </c>
      <c r="J102" s="177"/>
      <c r="K102" s="165">
        <v>2700</v>
      </c>
      <c r="L102" s="157"/>
      <c r="M102" s="165"/>
      <c r="N102" s="165"/>
      <c r="O102" s="165">
        <v>0</v>
      </c>
      <c r="P102" s="165"/>
      <c r="Q102" s="165">
        <v>0</v>
      </c>
      <c r="R102" s="157"/>
      <c r="S102" s="157"/>
      <c r="T102" s="157"/>
      <c r="U102" s="157"/>
      <c r="V102" s="157"/>
      <c r="W102" s="157"/>
      <c r="X102" s="157"/>
      <c r="AA102" s="106" t="s">
        <v>150</v>
      </c>
      <c r="AB102" s="120"/>
      <c r="AC102" s="111">
        <f t="shared" ref="AC102:AK107" si="1">C102-C155</f>
        <v>2700</v>
      </c>
      <c r="AD102" s="111">
        <f t="shared" si="1"/>
        <v>0</v>
      </c>
      <c r="AE102" s="113">
        <f t="shared" si="1"/>
        <v>0</v>
      </c>
      <c r="AF102" s="111">
        <f t="shared" si="1"/>
        <v>0</v>
      </c>
      <c r="AG102" s="111">
        <f t="shared" si="1"/>
        <v>0</v>
      </c>
      <c r="AH102" s="111">
        <f t="shared" si="1"/>
        <v>0</v>
      </c>
      <c r="AI102" s="111">
        <f t="shared" si="1"/>
        <v>2700</v>
      </c>
      <c r="AJ102" s="113">
        <f t="shared" si="1"/>
        <v>0</v>
      </c>
      <c r="AK102" s="111">
        <f t="shared" si="1"/>
        <v>-15541.092787291091</v>
      </c>
    </row>
    <row r="103" spans="1:37" ht="15">
      <c r="A103" s="157" t="s">
        <v>151</v>
      </c>
      <c r="B103" s="162"/>
      <c r="C103" s="158">
        <v>12739</v>
      </c>
      <c r="D103" s="157"/>
      <c r="E103" s="177">
        <v>293</v>
      </c>
      <c r="F103" s="157"/>
      <c r="G103" s="158"/>
      <c r="H103" s="158"/>
      <c r="I103" s="165">
        <v>13032</v>
      </c>
      <c r="J103" s="177">
        <v>136</v>
      </c>
      <c r="K103" s="165">
        <v>12896</v>
      </c>
      <c r="L103" s="157"/>
      <c r="M103" s="165"/>
      <c r="N103" s="165"/>
      <c r="O103" s="165">
        <v>293</v>
      </c>
      <c r="P103" s="165"/>
      <c r="Q103" s="165">
        <v>0</v>
      </c>
      <c r="R103" s="157"/>
      <c r="S103" s="157"/>
      <c r="T103" s="157"/>
      <c r="U103" s="157"/>
      <c r="V103" s="157"/>
      <c r="W103" s="157"/>
      <c r="X103" s="157"/>
      <c r="AA103" s="106" t="s">
        <v>151</v>
      </c>
      <c r="AB103" s="120"/>
      <c r="AC103" s="111">
        <f t="shared" si="1"/>
        <v>12739</v>
      </c>
      <c r="AD103" s="111">
        <f t="shared" si="1"/>
        <v>0</v>
      </c>
      <c r="AE103" s="113">
        <f t="shared" si="1"/>
        <v>293</v>
      </c>
      <c r="AF103" s="111">
        <f t="shared" si="1"/>
        <v>0</v>
      </c>
      <c r="AG103" s="111">
        <f t="shared" si="1"/>
        <v>0</v>
      </c>
      <c r="AH103" s="111">
        <f t="shared" si="1"/>
        <v>0</v>
      </c>
      <c r="AI103" s="111">
        <f t="shared" si="1"/>
        <v>13032</v>
      </c>
      <c r="AJ103" s="113">
        <f t="shared" si="1"/>
        <v>136</v>
      </c>
      <c r="AK103" s="111">
        <f t="shared" si="1"/>
        <v>11605</v>
      </c>
    </row>
    <row r="104" spans="1:37" ht="15">
      <c r="A104" s="164" t="s">
        <v>152</v>
      </c>
      <c r="B104" s="157"/>
      <c r="C104" s="159">
        <v>364</v>
      </c>
      <c r="D104" s="166"/>
      <c r="E104" s="179"/>
      <c r="F104" s="167"/>
      <c r="G104" s="159"/>
      <c r="H104" s="159"/>
      <c r="I104" s="166">
        <v>364</v>
      </c>
      <c r="J104" s="179"/>
      <c r="K104" s="166">
        <v>364</v>
      </c>
      <c r="L104" s="157"/>
      <c r="M104" s="165"/>
      <c r="N104" s="165"/>
      <c r="O104" s="166">
        <v>0</v>
      </c>
      <c r="P104" s="165"/>
      <c r="Q104" s="166">
        <v>0</v>
      </c>
      <c r="R104" s="157"/>
      <c r="S104" s="165"/>
      <c r="T104" s="157"/>
      <c r="U104" s="157"/>
      <c r="V104" s="157"/>
      <c r="W104" s="157"/>
      <c r="X104" s="157"/>
      <c r="AA104" s="114" t="s">
        <v>152</v>
      </c>
      <c r="AC104" s="116">
        <f t="shared" si="1"/>
        <v>364</v>
      </c>
      <c r="AD104" s="116">
        <f t="shared" si="1"/>
        <v>0</v>
      </c>
      <c r="AE104" s="115">
        <f t="shared" si="1"/>
        <v>0</v>
      </c>
      <c r="AF104" s="116">
        <f t="shared" si="1"/>
        <v>0</v>
      </c>
      <c r="AG104" s="116">
        <f t="shared" si="1"/>
        <v>0</v>
      </c>
      <c r="AH104" s="116">
        <f t="shared" si="1"/>
        <v>0</v>
      </c>
      <c r="AI104" s="116">
        <f t="shared" si="1"/>
        <v>364</v>
      </c>
      <c r="AJ104" s="115">
        <f t="shared" si="1"/>
        <v>0</v>
      </c>
      <c r="AK104" s="116">
        <f t="shared" si="1"/>
        <v>-323.81372388884904</v>
      </c>
    </row>
    <row r="105" spans="1:37" ht="15">
      <c r="A105" s="157"/>
      <c r="B105" s="162"/>
      <c r="C105" s="161"/>
      <c r="D105" s="157"/>
      <c r="E105" s="157"/>
      <c r="F105" s="157"/>
      <c r="G105" s="158"/>
      <c r="H105" s="158"/>
      <c r="I105" s="157"/>
      <c r="J105" s="17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AB105" s="120"/>
      <c r="AC105" s="121">
        <f t="shared" si="1"/>
        <v>0</v>
      </c>
      <c r="AD105" s="111">
        <f t="shared" si="1"/>
        <v>0</v>
      </c>
      <c r="AE105" s="113">
        <f t="shared" si="1"/>
        <v>0</v>
      </c>
      <c r="AF105" s="111">
        <f t="shared" si="1"/>
        <v>0</v>
      </c>
      <c r="AG105" s="111">
        <f t="shared" si="1"/>
        <v>0</v>
      </c>
      <c r="AH105" s="111">
        <f t="shared" si="1"/>
        <v>0</v>
      </c>
      <c r="AI105" s="111">
        <f t="shared" si="1"/>
        <v>0</v>
      </c>
      <c r="AJ105" s="113">
        <f t="shared" si="1"/>
        <v>0</v>
      </c>
      <c r="AK105" s="111">
        <f t="shared" si="1"/>
        <v>0</v>
      </c>
    </row>
    <row r="106" spans="1:37" ht="15">
      <c r="A106" s="157" t="s">
        <v>153</v>
      </c>
      <c r="B106" s="162"/>
      <c r="C106" s="158">
        <v>67145</v>
      </c>
      <c r="D106" s="157"/>
      <c r="E106" s="177">
        <v>929</v>
      </c>
      <c r="F106" s="157"/>
      <c r="G106" s="158">
        <v>0</v>
      </c>
      <c r="H106" s="158">
        <v>0</v>
      </c>
      <c r="I106" s="158">
        <v>68074</v>
      </c>
      <c r="J106" s="177">
        <v>748</v>
      </c>
      <c r="K106" s="158">
        <v>67326</v>
      </c>
      <c r="L106" s="165"/>
      <c r="M106" s="158"/>
      <c r="N106" s="158"/>
      <c r="O106" s="158"/>
      <c r="P106" s="158"/>
      <c r="Q106" s="158"/>
      <c r="R106" s="157"/>
      <c r="S106" s="157"/>
      <c r="T106" s="157"/>
      <c r="U106" s="164" t="s">
        <v>154</v>
      </c>
      <c r="V106" s="157"/>
      <c r="W106" s="157"/>
      <c r="X106" s="203">
        <v>524</v>
      </c>
      <c r="AA106" s="106" t="s">
        <v>153</v>
      </c>
      <c r="AB106" s="120"/>
      <c r="AC106" s="111">
        <f t="shared" si="1"/>
        <v>67145</v>
      </c>
      <c r="AD106" s="111">
        <f t="shared" si="1"/>
        <v>0</v>
      </c>
      <c r="AE106" s="113">
        <f t="shared" si="1"/>
        <v>929</v>
      </c>
      <c r="AF106" s="111">
        <f t="shared" si="1"/>
        <v>0</v>
      </c>
      <c r="AG106" s="111">
        <f t="shared" si="1"/>
        <v>0</v>
      </c>
      <c r="AH106" s="111">
        <f t="shared" si="1"/>
        <v>0</v>
      </c>
      <c r="AI106" s="111">
        <f t="shared" si="1"/>
        <v>68074</v>
      </c>
      <c r="AJ106" s="113">
        <f t="shared" si="1"/>
        <v>748</v>
      </c>
      <c r="AK106" s="111">
        <f t="shared" si="1"/>
        <v>66799.025933417288</v>
      </c>
    </row>
    <row r="107" spans="1:37" ht="15">
      <c r="A107" s="157" t="s">
        <v>155</v>
      </c>
      <c r="B107" s="162"/>
      <c r="C107" s="159">
        <v>30609</v>
      </c>
      <c r="D107" s="167"/>
      <c r="E107" s="179">
        <v>524</v>
      </c>
      <c r="F107" s="167"/>
      <c r="G107" s="159"/>
      <c r="H107" s="159"/>
      <c r="I107" s="166">
        <v>31133</v>
      </c>
      <c r="J107" s="179">
        <v>583</v>
      </c>
      <c r="K107" s="166">
        <v>30550</v>
      </c>
      <c r="L107" s="165"/>
      <c r="M107" s="165"/>
      <c r="N107" s="165"/>
      <c r="O107" s="166"/>
      <c r="P107" s="165"/>
      <c r="Q107" s="166"/>
      <c r="R107" s="157"/>
      <c r="S107" s="157"/>
      <c r="T107" s="157"/>
      <c r="U107" s="164" t="s">
        <v>156</v>
      </c>
      <c r="V107" s="157"/>
      <c r="W107" s="157"/>
      <c r="X107" s="203">
        <v>188.4828</v>
      </c>
      <c r="AA107" s="106" t="s">
        <v>155</v>
      </c>
      <c r="AB107" s="120"/>
      <c r="AC107" s="116">
        <f>C107-C160</f>
        <v>30609</v>
      </c>
      <c r="AD107" s="116">
        <f t="shared" si="1"/>
        <v>0</v>
      </c>
      <c r="AE107" s="115">
        <f t="shared" si="1"/>
        <v>524</v>
      </c>
      <c r="AF107" s="116">
        <f t="shared" si="1"/>
        <v>0</v>
      </c>
      <c r="AG107" s="116">
        <f t="shared" si="1"/>
        <v>0</v>
      </c>
      <c r="AH107" s="116">
        <f t="shared" si="1"/>
        <v>0</v>
      </c>
      <c r="AI107" s="116">
        <f t="shared" si="1"/>
        <v>31133</v>
      </c>
      <c r="AJ107" s="115">
        <f t="shared" si="1"/>
        <v>583</v>
      </c>
      <c r="AK107" s="116">
        <f t="shared" si="1"/>
        <v>30550</v>
      </c>
    </row>
    <row r="108" spans="1:37" ht="15">
      <c r="A108" s="157"/>
      <c r="B108" s="162"/>
      <c r="C108" s="158"/>
      <c r="D108" s="157"/>
      <c r="E108" s="157"/>
      <c r="F108" s="157"/>
      <c r="G108" s="158"/>
      <c r="H108" s="158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64" t="s">
        <v>157</v>
      </c>
      <c r="V108" s="157"/>
      <c r="W108" s="157"/>
      <c r="X108" s="203">
        <v>335.5172</v>
      </c>
      <c r="AB108" s="120"/>
      <c r="AC108" s="111">
        <f t="shared" ref="AC108:AK123" si="2">C108-C161</f>
        <v>0</v>
      </c>
      <c r="AD108" s="111">
        <f t="shared" si="2"/>
        <v>0</v>
      </c>
      <c r="AE108" s="111">
        <f t="shared" si="2"/>
        <v>0</v>
      </c>
      <c r="AF108" s="111">
        <f t="shared" si="2"/>
        <v>0</v>
      </c>
      <c r="AG108" s="111">
        <f t="shared" si="2"/>
        <v>0</v>
      </c>
      <c r="AH108" s="111">
        <f t="shared" si="2"/>
        <v>0</v>
      </c>
      <c r="AI108" s="111">
        <f t="shared" si="2"/>
        <v>0</v>
      </c>
      <c r="AJ108" s="113">
        <f t="shared" si="2"/>
        <v>0</v>
      </c>
      <c r="AK108" s="111">
        <f t="shared" si="2"/>
        <v>0</v>
      </c>
    </row>
    <row r="109" spans="1:37" ht="15">
      <c r="A109" s="157" t="s">
        <v>158</v>
      </c>
      <c r="B109" s="162"/>
      <c r="C109" s="158">
        <v>36536</v>
      </c>
      <c r="D109" s="158">
        <v>0</v>
      </c>
      <c r="E109" s="158">
        <v>405</v>
      </c>
      <c r="F109" s="158">
        <v>0</v>
      </c>
      <c r="G109" s="158">
        <v>0</v>
      </c>
      <c r="H109" s="158">
        <v>0</v>
      </c>
      <c r="I109" s="158">
        <v>36941</v>
      </c>
      <c r="J109" s="177">
        <v>165</v>
      </c>
      <c r="K109" s="165">
        <v>36776</v>
      </c>
      <c r="L109" s="165"/>
      <c r="M109" s="165"/>
      <c r="N109" s="165"/>
      <c r="O109" s="158"/>
      <c r="P109" s="165"/>
      <c r="Q109" s="158"/>
      <c r="R109" s="157"/>
      <c r="S109" s="165"/>
      <c r="T109" s="157"/>
      <c r="U109" s="157"/>
      <c r="V109" s="157"/>
      <c r="W109" s="157"/>
      <c r="X109" s="157"/>
      <c r="AA109" s="106" t="s">
        <v>158</v>
      </c>
      <c r="AB109" s="120"/>
      <c r="AC109" s="111">
        <f t="shared" si="2"/>
        <v>36536</v>
      </c>
      <c r="AD109" s="111">
        <f t="shared" si="2"/>
        <v>0</v>
      </c>
      <c r="AE109" s="111">
        <f t="shared" si="2"/>
        <v>405</v>
      </c>
      <c r="AF109" s="111">
        <f t="shared" si="2"/>
        <v>0</v>
      </c>
      <c r="AG109" s="111">
        <f t="shared" si="2"/>
        <v>0</v>
      </c>
      <c r="AH109" s="111">
        <f t="shared" si="2"/>
        <v>0</v>
      </c>
      <c r="AI109" s="111">
        <f t="shared" si="2"/>
        <v>36941</v>
      </c>
      <c r="AJ109" s="113">
        <f t="shared" si="2"/>
        <v>165</v>
      </c>
      <c r="AK109" s="111">
        <f t="shared" si="2"/>
        <v>34000.398498730014</v>
      </c>
    </row>
    <row r="110" spans="1:37" ht="15">
      <c r="A110" s="157"/>
      <c r="B110" s="162"/>
      <c r="C110" s="158"/>
      <c r="D110" s="157"/>
      <c r="E110" s="157"/>
      <c r="F110" s="157"/>
      <c r="G110" s="158"/>
      <c r="H110" s="158"/>
      <c r="I110" s="157"/>
      <c r="J110" s="157"/>
      <c r="K110" s="157"/>
      <c r="L110" s="184"/>
      <c r="M110" s="157"/>
      <c r="N110" s="157"/>
      <c r="O110" s="157"/>
      <c r="P110" s="157"/>
      <c r="Q110" s="157"/>
      <c r="R110" s="157"/>
      <c r="S110" s="165"/>
      <c r="T110" s="201">
        <v>0</v>
      </c>
      <c r="U110" s="164" t="s">
        <v>159</v>
      </c>
      <c r="V110" s="157"/>
      <c r="W110" s="157"/>
      <c r="X110" s="157"/>
      <c r="AB110" s="120"/>
      <c r="AC110" s="111">
        <f t="shared" si="2"/>
        <v>0</v>
      </c>
      <c r="AD110" s="111">
        <f t="shared" si="2"/>
        <v>0</v>
      </c>
      <c r="AE110" s="111">
        <f t="shared" si="2"/>
        <v>0</v>
      </c>
      <c r="AF110" s="111">
        <f t="shared" si="2"/>
        <v>0</v>
      </c>
      <c r="AG110" s="111">
        <f t="shared" si="2"/>
        <v>0</v>
      </c>
      <c r="AH110" s="111">
        <f t="shared" si="2"/>
        <v>0</v>
      </c>
      <c r="AI110" s="111">
        <f t="shared" si="2"/>
        <v>0</v>
      </c>
      <c r="AJ110" s="113">
        <f t="shared" si="2"/>
        <v>0</v>
      </c>
      <c r="AK110" s="111">
        <f t="shared" si="2"/>
        <v>-2665.8305620537099</v>
      </c>
    </row>
    <row r="111" spans="1:37" ht="15">
      <c r="A111" s="157" t="s">
        <v>160</v>
      </c>
      <c r="B111" s="162"/>
      <c r="C111" s="161">
        <v>0</v>
      </c>
      <c r="D111" s="157"/>
      <c r="E111" s="158">
        <v>0</v>
      </c>
      <c r="F111" s="158">
        <v>-5189</v>
      </c>
      <c r="G111" s="158"/>
      <c r="H111" s="158"/>
      <c r="I111" s="165">
        <v>-5189</v>
      </c>
      <c r="J111" s="177">
        <v>-5189</v>
      </c>
      <c r="K111" s="165">
        <v>0</v>
      </c>
      <c r="L111" s="157"/>
      <c r="M111" s="165"/>
      <c r="N111" s="165"/>
      <c r="O111" s="165">
        <v>0</v>
      </c>
      <c r="P111" s="165"/>
      <c r="Q111" s="165">
        <v>-5189</v>
      </c>
      <c r="R111" s="157"/>
      <c r="S111" s="157"/>
      <c r="T111" s="157">
        <v>324.88</v>
      </c>
      <c r="U111" s="164" t="s">
        <v>161</v>
      </c>
      <c r="V111" s="157"/>
      <c r="W111" s="157"/>
      <c r="X111" s="203">
        <v>748</v>
      </c>
      <c r="AA111" s="106" t="s">
        <v>160</v>
      </c>
      <c r="AB111" s="120"/>
      <c r="AC111" s="121">
        <f t="shared" si="2"/>
        <v>0</v>
      </c>
      <c r="AD111" s="111">
        <f t="shared" si="2"/>
        <v>0</v>
      </c>
      <c r="AE111" s="111">
        <f t="shared" si="2"/>
        <v>0</v>
      </c>
      <c r="AF111" s="111">
        <f t="shared" si="2"/>
        <v>-5189</v>
      </c>
      <c r="AG111" s="111">
        <f t="shared" si="2"/>
        <v>0</v>
      </c>
      <c r="AH111" s="111">
        <f t="shared" si="2"/>
        <v>0</v>
      </c>
      <c r="AI111" s="111">
        <f t="shared" si="2"/>
        <v>-5189</v>
      </c>
      <c r="AJ111" s="113">
        <f t="shared" si="2"/>
        <v>-5189</v>
      </c>
      <c r="AK111" s="111">
        <f t="shared" si="2"/>
        <v>-185.44597201318413</v>
      </c>
    </row>
    <row r="112" spans="1:37" ht="15">
      <c r="A112" s="157"/>
      <c r="B112" s="162"/>
      <c r="C112" s="158"/>
      <c r="D112" s="157"/>
      <c r="E112" s="158"/>
      <c r="F112" s="157"/>
      <c r="G112" s="158"/>
      <c r="H112" s="158"/>
      <c r="I112" s="157"/>
      <c r="J112" s="157"/>
      <c r="K112" s="157"/>
      <c r="L112" s="165"/>
      <c r="M112" s="157"/>
      <c r="N112" s="157"/>
      <c r="O112" s="157"/>
      <c r="P112" s="157"/>
      <c r="Q112" s="157"/>
      <c r="R112" s="157"/>
      <c r="S112" s="165"/>
      <c r="T112" s="157"/>
      <c r="U112" s="164" t="s">
        <v>162</v>
      </c>
      <c r="V112" s="157"/>
      <c r="W112" s="157"/>
      <c r="X112" s="203">
        <v>247.06439999999998</v>
      </c>
      <c r="AB112" s="120"/>
      <c r="AC112" s="111">
        <f t="shared" si="2"/>
        <v>0</v>
      </c>
      <c r="AD112" s="111">
        <f t="shared" si="2"/>
        <v>0</v>
      </c>
      <c r="AE112" s="111">
        <f t="shared" si="2"/>
        <v>0</v>
      </c>
      <c r="AF112" s="111">
        <f t="shared" si="2"/>
        <v>0</v>
      </c>
      <c r="AG112" s="111">
        <f t="shared" si="2"/>
        <v>0</v>
      </c>
      <c r="AH112" s="111">
        <f t="shared" si="2"/>
        <v>0</v>
      </c>
      <c r="AI112" s="111">
        <f t="shared" si="2"/>
        <v>0</v>
      </c>
      <c r="AJ112" s="113">
        <f t="shared" si="2"/>
        <v>0</v>
      </c>
      <c r="AK112" s="111">
        <f t="shared" si="2"/>
        <v>-75.6750327969051</v>
      </c>
    </row>
    <row r="113" spans="1:37" ht="15">
      <c r="A113" s="157" t="s">
        <v>163</v>
      </c>
      <c r="B113" s="162"/>
      <c r="C113" s="161">
        <v>2730</v>
      </c>
      <c r="D113" s="157"/>
      <c r="E113" s="158">
        <v>2</v>
      </c>
      <c r="F113" s="158">
        <v>21</v>
      </c>
      <c r="G113" s="158"/>
      <c r="H113" s="158"/>
      <c r="I113" s="165">
        <v>2753</v>
      </c>
      <c r="J113" s="165"/>
      <c r="K113" s="165">
        <v>2753</v>
      </c>
      <c r="L113" s="157"/>
      <c r="M113" s="165"/>
      <c r="N113" s="165"/>
      <c r="O113" s="165">
        <v>2</v>
      </c>
      <c r="P113" s="165"/>
      <c r="Q113" s="165">
        <v>21</v>
      </c>
      <c r="R113" s="157"/>
      <c r="S113" s="157"/>
      <c r="T113" s="157"/>
      <c r="U113" s="164" t="s">
        <v>164</v>
      </c>
      <c r="V113" s="157"/>
      <c r="W113" s="157"/>
      <c r="X113" s="203">
        <v>500.93560000000002</v>
      </c>
      <c r="Y113" s="157"/>
      <c r="AA113" s="106" t="s">
        <v>163</v>
      </c>
      <c r="AB113" s="120"/>
      <c r="AC113" s="121">
        <f t="shared" si="2"/>
        <v>2730</v>
      </c>
      <c r="AD113" s="111">
        <f t="shared" si="2"/>
        <v>0</v>
      </c>
      <c r="AE113" s="111">
        <f t="shared" si="2"/>
        <v>2</v>
      </c>
      <c r="AF113" s="111">
        <f t="shared" si="2"/>
        <v>21</v>
      </c>
      <c r="AG113" s="111">
        <f t="shared" si="2"/>
        <v>0</v>
      </c>
      <c r="AH113" s="111">
        <f t="shared" si="2"/>
        <v>0</v>
      </c>
      <c r="AI113" s="111">
        <f t="shared" si="2"/>
        <v>2753</v>
      </c>
      <c r="AJ113" s="113">
        <f t="shared" si="2"/>
        <v>0</v>
      </c>
      <c r="AK113" s="122">
        <f t="shared" si="2"/>
        <v>2753</v>
      </c>
    </row>
    <row r="114" spans="1:37" ht="15">
      <c r="A114" s="157" t="s">
        <v>165</v>
      </c>
      <c r="B114" s="162"/>
      <c r="C114" s="158">
        <v>3617</v>
      </c>
      <c r="D114" s="157"/>
      <c r="E114" s="158"/>
      <c r="F114" s="157"/>
      <c r="G114" s="158"/>
      <c r="H114" s="158"/>
      <c r="I114" s="165">
        <v>3617</v>
      </c>
      <c r="J114" s="157"/>
      <c r="K114" s="165">
        <v>3617</v>
      </c>
      <c r="L114" s="157"/>
      <c r="M114" s="165"/>
      <c r="N114" s="165"/>
      <c r="O114" s="165">
        <v>0</v>
      </c>
      <c r="P114" s="165"/>
      <c r="Q114" s="165">
        <v>0</v>
      </c>
      <c r="R114" s="157"/>
      <c r="S114" s="157"/>
      <c r="T114" s="157"/>
      <c r="U114" s="157"/>
      <c r="V114" s="157"/>
      <c r="W114" s="157"/>
      <c r="X114" s="157"/>
      <c r="Y114" s="157"/>
      <c r="AA114" s="106" t="s">
        <v>165</v>
      </c>
      <c r="AB114" s="120"/>
      <c r="AC114" s="111">
        <f t="shared" si="2"/>
        <v>3617</v>
      </c>
      <c r="AD114" s="111">
        <f t="shared" si="2"/>
        <v>0</v>
      </c>
      <c r="AE114" s="111">
        <f t="shared" si="2"/>
        <v>0</v>
      </c>
      <c r="AF114" s="111">
        <f t="shared" si="2"/>
        <v>0</v>
      </c>
      <c r="AG114" s="111">
        <f t="shared" si="2"/>
        <v>0</v>
      </c>
      <c r="AH114" s="111">
        <f t="shared" si="2"/>
        <v>0</v>
      </c>
      <c r="AI114" s="111">
        <f t="shared" si="2"/>
        <v>3617</v>
      </c>
      <c r="AJ114" s="113">
        <f t="shared" si="2"/>
        <v>0</v>
      </c>
      <c r="AK114" s="122">
        <f t="shared" si="2"/>
        <v>-13300.330943327237</v>
      </c>
    </row>
    <row r="115" spans="1:37" ht="15">
      <c r="A115" s="157"/>
      <c r="B115" s="162"/>
      <c r="C115" s="158"/>
      <c r="D115" s="157"/>
      <c r="E115" s="158"/>
      <c r="F115" s="157"/>
      <c r="G115" s="158"/>
      <c r="H115" s="158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65">
        <v>284.24</v>
      </c>
      <c r="U115" s="157"/>
      <c r="V115" s="157"/>
      <c r="W115" s="157"/>
      <c r="X115" s="157"/>
      <c r="Y115" s="157"/>
      <c r="AB115" s="120"/>
      <c r="AC115" s="111">
        <f t="shared" si="2"/>
        <v>0</v>
      </c>
      <c r="AD115" s="111">
        <f t="shared" si="2"/>
        <v>0</v>
      </c>
      <c r="AE115" s="111">
        <f t="shared" si="2"/>
        <v>0</v>
      </c>
      <c r="AF115" s="111">
        <f t="shared" si="2"/>
        <v>0</v>
      </c>
      <c r="AG115" s="111">
        <f t="shared" si="2"/>
        <v>0</v>
      </c>
      <c r="AH115" s="111">
        <f t="shared" si="2"/>
        <v>0</v>
      </c>
      <c r="AI115" s="111">
        <f t="shared" si="2"/>
        <v>0</v>
      </c>
      <c r="AJ115" s="113">
        <f t="shared" si="2"/>
        <v>0</v>
      </c>
      <c r="AK115" s="111">
        <f t="shared" si="2"/>
        <v>-6660.0517582020475</v>
      </c>
    </row>
    <row r="116" spans="1:37" ht="15">
      <c r="A116" s="157" t="s">
        <v>166</v>
      </c>
      <c r="B116" s="162"/>
      <c r="C116" s="158"/>
      <c r="D116" s="157"/>
      <c r="E116" s="158"/>
      <c r="F116" s="157"/>
      <c r="G116" s="158"/>
      <c r="H116" s="158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65">
        <v>-284.24</v>
      </c>
      <c r="U116" s="164" t="s">
        <v>167</v>
      </c>
      <c r="V116" s="157"/>
      <c r="W116" s="157"/>
      <c r="X116" s="164" t="s">
        <v>168</v>
      </c>
      <c r="Y116" s="157"/>
      <c r="AA116" s="106" t="s">
        <v>166</v>
      </c>
      <c r="AB116" s="120"/>
      <c r="AC116" s="111">
        <f t="shared" si="2"/>
        <v>0</v>
      </c>
      <c r="AD116" s="111">
        <f t="shared" si="2"/>
        <v>0</v>
      </c>
      <c r="AE116" s="111">
        <f t="shared" si="2"/>
        <v>0</v>
      </c>
      <c r="AF116" s="111">
        <f t="shared" si="2"/>
        <v>0</v>
      </c>
      <c r="AG116" s="111">
        <f t="shared" si="2"/>
        <v>0</v>
      </c>
      <c r="AH116" s="111">
        <f t="shared" si="2"/>
        <v>0</v>
      </c>
      <c r="AI116" s="111">
        <f t="shared" si="2"/>
        <v>0</v>
      </c>
      <c r="AJ116" s="113">
        <f t="shared" si="2"/>
        <v>0</v>
      </c>
      <c r="AK116" s="111">
        <f t="shared" si="2"/>
        <v>-5486.9068051513486</v>
      </c>
    </row>
    <row r="117" spans="1:37" ht="15">
      <c r="A117" s="157" t="s">
        <v>169</v>
      </c>
      <c r="B117" s="162"/>
      <c r="C117" s="177">
        <v>4580</v>
      </c>
      <c r="D117" s="157"/>
      <c r="E117" s="177">
        <v>400</v>
      </c>
      <c r="F117" s="157"/>
      <c r="G117" s="158"/>
      <c r="H117" s="117"/>
      <c r="I117" s="165">
        <v>4980</v>
      </c>
      <c r="J117" s="157"/>
      <c r="K117" s="165">
        <v>4980</v>
      </c>
      <c r="L117" s="157"/>
      <c r="M117" s="165"/>
      <c r="N117" s="165"/>
      <c r="O117" s="165">
        <v>400</v>
      </c>
      <c r="P117" s="165"/>
      <c r="Q117" s="165">
        <v>0</v>
      </c>
      <c r="R117" s="157"/>
      <c r="S117" s="157"/>
      <c r="T117" s="157"/>
      <c r="U117" s="164" t="s">
        <v>170</v>
      </c>
      <c r="V117" s="157"/>
      <c r="W117" s="157"/>
      <c r="X117" s="165">
        <v>335.5172</v>
      </c>
      <c r="Y117" s="164" t="s">
        <v>171</v>
      </c>
      <c r="AA117" s="106" t="s">
        <v>169</v>
      </c>
      <c r="AB117" s="120"/>
      <c r="AC117" s="113">
        <f t="shared" si="2"/>
        <v>4580</v>
      </c>
      <c r="AD117" s="111">
        <f t="shared" si="2"/>
        <v>0</v>
      </c>
      <c r="AE117" s="113">
        <f t="shared" si="2"/>
        <v>400</v>
      </c>
      <c r="AF117" s="111">
        <f t="shared" si="2"/>
        <v>0</v>
      </c>
      <c r="AG117" s="111">
        <f t="shared" si="2"/>
        <v>0</v>
      </c>
      <c r="AH117" s="117">
        <f t="shared" si="2"/>
        <v>0</v>
      </c>
      <c r="AI117" s="111">
        <f t="shared" si="2"/>
        <v>4980</v>
      </c>
      <c r="AJ117" s="113">
        <f t="shared" si="2"/>
        <v>0</v>
      </c>
      <c r="AK117" s="111">
        <f t="shared" si="2"/>
        <v>3806.8550469493011</v>
      </c>
    </row>
    <row r="118" spans="1:37" ht="15">
      <c r="A118" s="157" t="s">
        <v>172</v>
      </c>
      <c r="B118" s="162"/>
      <c r="C118" s="177">
        <v>9690</v>
      </c>
      <c r="D118" s="157"/>
      <c r="E118" s="177">
        <v>773</v>
      </c>
      <c r="F118" s="157"/>
      <c r="G118" s="158"/>
      <c r="H118" s="158"/>
      <c r="I118" s="165">
        <v>10463</v>
      </c>
      <c r="J118" s="177"/>
      <c r="K118" s="165">
        <v>10463</v>
      </c>
      <c r="L118" s="157"/>
      <c r="M118" s="165"/>
      <c r="N118" s="165"/>
      <c r="O118" s="165">
        <v>773</v>
      </c>
      <c r="P118" s="165"/>
      <c r="Q118" s="165">
        <v>0</v>
      </c>
      <c r="R118" s="157"/>
      <c r="S118" s="157"/>
      <c r="T118" s="157"/>
      <c r="U118" s="164" t="s">
        <v>173</v>
      </c>
      <c r="V118" s="157"/>
      <c r="W118" s="157"/>
      <c r="X118" s="203">
        <v>500.93560000000002</v>
      </c>
      <c r="Y118" s="164" t="s">
        <v>174</v>
      </c>
      <c r="AA118" s="106" t="s">
        <v>172</v>
      </c>
      <c r="AB118" s="120"/>
      <c r="AC118" s="113">
        <f t="shared" si="2"/>
        <v>9690</v>
      </c>
      <c r="AD118" s="111">
        <f t="shared" si="2"/>
        <v>0</v>
      </c>
      <c r="AE118" s="113">
        <f t="shared" si="2"/>
        <v>773</v>
      </c>
      <c r="AF118" s="111">
        <f t="shared" si="2"/>
        <v>0</v>
      </c>
      <c r="AG118" s="111">
        <f t="shared" si="2"/>
        <v>0</v>
      </c>
      <c r="AH118" s="111">
        <f t="shared" si="2"/>
        <v>0</v>
      </c>
      <c r="AI118" s="111">
        <f t="shared" si="2"/>
        <v>10463</v>
      </c>
      <c r="AJ118" s="113">
        <f t="shared" si="2"/>
        <v>0</v>
      </c>
      <c r="AK118" s="111">
        <f t="shared" si="2"/>
        <v>10463</v>
      </c>
    </row>
    <row r="119" spans="1:37" ht="15">
      <c r="A119" s="157" t="s">
        <v>175</v>
      </c>
      <c r="B119" s="162"/>
      <c r="C119" s="177">
        <v>737</v>
      </c>
      <c r="D119" s="157"/>
      <c r="E119" s="177"/>
      <c r="F119" s="157"/>
      <c r="G119" s="158"/>
      <c r="H119" s="158"/>
      <c r="I119" s="165">
        <v>737</v>
      </c>
      <c r="J119" s="157"/>
      <c r="K119" s="165">
        <v>737</v>
      </c>
      <c r="L119" s="157"/>
      <c r="M119" s="165"/>
      <c r="N119" s="165"/>
      <c r="O119" s="165">
        <v>0</v>
      </c>
      <c r="P119" s="165"/>
      <c r="Q119" s="165">
        <v>0</v>
      </c>
      <c r="R119" s="157"/>
      <c r="S119" s="157"/>
      <c r="T119" s="157"/>
      <c r="U119" s="164" t="s">
        <v>176</v>
      </c>
      <c r="V119" s="157"/>
      <c r="W119" s="157"/>
      <c r="X119" s="165">
        <v>-165.41840000000002</v>
      </c>
      <c r="Y119" s="164" t="s">
        <v>174</v>
      </c>
      <c r="AA119" s="106" t="s">
        <v>175</v>
      </c>
      <c r="AB119" s="120"/>
      <c r="AC119" s="113">
        <f t="shared" si="2"/>
        <v>737</v>
      </c>
      <c r="AD119" s="111">
        <f t="shared" si="2"/>
        <v>0</v>
      </c>
      <c r="AE119" s="113">
        <f t="shared" si="2"/>
        <v>0</v>
      </c>
      <c r="AF119" s="111">
        <f t="shared" si="2"/>
        <v>0</v>
      </c>
      <c r="AG119" s="111">
        <f t="shared" si="2"/>
        <v>0</v>
      </c>
      <c r="AH119" s="111">
        <f t="shared" si="2"/>
        <v>0</v>
      </c>
      <c r="AI119" s="111">
        <f t="shared" si="2"/>
        <v>737</v>
      </c>
      <c r="AJ119" s="113">
        <f t="shared" si="2"/>
        <v>0</v>
      </c>
      <c r="AK119" s="111">
        <f t="shared" si="2"/>
        <v>-9520.2791851251895</v>
      </c>
    </row>
    <row r="120" spans="1:37" ht="15">
      <c r="A120" s="157" t="s">
        <v>177</v>
      </c>
      <c r="B120" s="162"/>
      <c r="C120" s="179">
        <v>7142</v>
      </c>
      <c r="D120" s="167"/>
      <c r="E120" s="179">
        <v>754</v>
      </c>
      <c r="F120" s="167"/>
      <c r="G120" s="159"/>
      <c r="H120" s="159"/>
      <c r="I120" s="166">
        <v>7896</v>
      </c>
      <c r="J120" s="167"/>
      <c r="K120" s="166">
        <v>7896</v>
      </c>
      <c r="L120" s="157"/>
      <c r="M120" s="165"/>
      <c r="N120" s="165"/>
      <c r="O120" s="166">
        <v>754</v>
      </c>
      <c r="P120" s="165"/>
      <c r="Q120" s="166">
        <v>0</v>
      </c>
      <c r="R120" s="157"/>
      <c r="S120" s="157"/>
      <c r="T120" s="157"/>
      <c r="U120" s="157"/>
      <c r="V120" s="157"/>
      <c r="W120" s="157"/>
      <c r="X120" s="157"/>
      <c r="Y120" s="157"/>
      <c r="AA120" s="106" t="s">
        <v>177</v>
      </c>
      <c r="AB120" s="120"/>
      <c r="AC120" s="115">
        <f t="shared" si="2"/>
        <v>7142</v>
      </c>
      <c r="AD120" s="116">
        <f t="shared" si="2"/>
        <v>0</v>
      </c>
      <c r="AE120" s="115">
        <f t="shared" si="2"/>
        <v>754</v>
      </c>
      <c r="AF120" s="116">
        <f t="shared" si="2"/>
        <v>0</v>
      </c>
      <c r="AG120" s="116">
        <f t="shared" si="2"/>
        <v>0</v>
      </c>
      <c r="AH120" s="116">
        <f t="shared" si="2"/>
        <v>0</v>
      </c>
      <c r="AI120" s="116">
        <f t="shared" si="2"/>
        <v>7896</v>
      </c>
      <c r="AJ120" s="115">
        <f t="shared" si="2"/>
        <v>0</v>
      </c>
      <c r="AK120" s="116">
        <f t="shared" si="2"/>
        <v>7895.4043176475052</v>
      </c>
    </row>
    <row r="121" spans="1:37" ht="15">
      <c r="A121" s="157"/>
      <c r="B121" s="162"/>
      <c r="C121" s="177">
        <v>22149</v>
      </c>
      <c r="D121" s="157"/>
      <c r="E121" s="177">
        <v>1927</v>
      </c>
      <c r="F121" s="158">
        <v>0</v>
      </c>
      <c r="G121" s="158">
        <v>0</v>
      </c>
      <c r="H121" s="158">
        <v>0</v>
      </c>
      <c r="I121" s="158">
        <v>24076</v>
      </c>
      <c r="J121" s="177">
        <v>0</v>
      </c>
      <c r="K121" s="158">
        <v>24076</v>
      </c>
      <c r="L121" s="157"/>
      <c r="M121" s="158"/>
      <c r="N121" s="158"/>
      <c r="O121" s="158">
        <v>1927</v>
      </c>
      <c r="P121" s="158"/>
      <c r="Q121" s="158">
        <v>0</v>
      </c>
      <c r="R121" s="157"/>
      <c r="S121" s="157"/>
      <c r="T121" s="157"/>
      <c r="U121" s="157"/>
      <c r="V121" s="157"/>
      <c r="W121" s="157"/>
      <c r="X121" s="157"/>
      <c r="Y121" s="157"/>
      <c r="AB121" s="120"/>
      <c r="AC121" s="113">
        <f t="shared" si="2"/>
        <v>22149</v>
      </c>
      <c r="AD121" s="111">
        <f t="shared" si="2"/>
        <v>0</v>
      </c>
      <c r="AE121" s="113">
        <f t="shared" si="2"/>
        <v>1927</v>
      </c>
      <c r="AF121" s="111">
        <f t="shared" si="2"/>
        <v>0</v>
      </c>
      <c r="AG121" s="111">
        <f t="shared" si="2"/>
        <v>0</v>
      </c>
      <c r="AH121" s="111">
        <f t="shared" si="2"/>
        <v>0</v>
      </c>
      <c r="AI121" s="111">
        <f t="shared" si="2"/>
        <v>24076</v>
      </c>
      <c r="AJ121" s="113">
        <f t="shared" si="2"/>
        <v>0</v>
      </c>
      <c r="AK121" s="122">
        <f t="shared" si="2"/>
        <v>24076</v>
      </c>
    </row>
    <row r="122" spans="1:37" ht="15">
      <c r="A122" s="157" t="s">
        <v>178</v>
      </c>
      <c r="B122" s="162"/>
      <c r="C122" s="188"/>
      <c r="D122" s="157"/>
      <c r="E122" s="177"/>
      <c r="F122" s="157"/>
      <c r="G122" s="158"/>
      <c r="H122" s="158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AA122" s="106" t="s">
        <v>178</v>
      </c>
      <c r="AB122" s="120"/>
      <c r="AC122" s="123">
        <f t="shared" si="2"/>
        <v>0</v>
      </c>
      <c r="AD122" s="111">
        <f t="shared" si="2"/>
        <v>0</v>
      </c>
      <c r="AE122" s="113">
        <f t="shared" si="2"/>
        <v>0</v>
      </c>
      <c r="AF122" s="111">
        <f t="shared" si="2"/>
        <v>0</v>
      </c>
      <c r="AG122" s="111">
        <f t="shared" si="2"/>
        <v>0</v>
      </c>
      <c r="AH122" s="111">
        <f t="shared" si="2"/>
        <v>0</v>
      </c>
      <c r="AI122" s="111">
        <f t="shared" si="2"/>
        <v>0</v>
      </c>
      <c r="AJ122" s="113">
        <f t="shared" si="2"/>
        <v>0</v>
      </c>
      <c r="AK122" s="111">
        <f t="shared" si="2"/>
        <v>-10552.775973267757</v>
      </c>
    </row>
    <row r="123" spans="1:37" ht="15">
      <c r="A123" s="157" t="s">
        <v>179</v>
      </c>
      <c r="B123" s="162"/>
      <c r="C123" s="177">
        <v>827</v>
      </c>
      <c r="D123" s="157"/>
      <c r="E123" s="177">
        <v>189</v>
      </c>
      <c r="F123" s="157">
        <v>135</v>
      </c>
      <c r="G123" s="158"/>
      <c r="H123" s="158"/>
      <c r="I123" s="165">
        <v>1151</v>
      </c>
      <c r="J123" s="157"/>
      <c r="K123" s="165">
        <v>1151</v>
      </c>
      <c r="L123" s="157"/>
      <c r="M123" s="165"/>
      <c r="N123" s="165"/>
      <c r="O123" s="165">
        <v>189</v>
      </c>
      <c r="P123" s="165"/>
      <c r="Q123" s="165">
        <v>135</v>
      </c>
      <c r="R123" s="157"/>
      <c r="S123" s="157"/>
      <c r="T123" s="157"/>
      <c r="U123" s="157"/>
      <c r="V123" s="157"/>
      <c r="W123" s="157"/>
      <c r="X123" s="157"/>
      <c r="Y123" s="157"/>
      <c r="AA123" s="106" t="s">
        <v>179</v>
      </c>
      <c r="AB123" s="120"/>
      <c r="AC123" s="113">
        <f t="shared" si="2"/>
        <v>827</v>
      </c>
      <c r="AD123" s="111">
        <f t="shared" si="2"/>
        <v>0</v>
      </c>
      <c r="AE123" s="113">
        <f t="shared" si="2"/>
        <v>189</v>
      </c>
      <c r="AF123" s="113">
        <f t="shared" si="2"/>
        <v>135</v>
      </c>
      <c r="AG123" s="111">
        <f t="shared" si="2"/>
        <v>0</v>
      </c>
      <c r="AH123" s="111">
        <f t="shared" si="2"/>
        <v>0</v>
      </c>
      <c r="AI123" s="111">
        <f t="shared" si="2"/>
        <v>1151</v>
      </c>
      <c r="AJ123" s="113">
        <f t="shared" si="2"/>
        <v>0</v>
      </c>
      <c r="AK123" s="122">
        <f t="shared" si="2"/>
        <v>-4557.2018461197977</v>
      </c>
    </row>
    <row r="124" spans="1:37" ht="15">
      <c r="A124" s="157" t="s">
        <v>180</v>
      </c>
      <c r="B124" s="162"/>
      <c r="C124" s="177">
        <v>6748</v>
      </c>
      <c r="D124" s="157"/>
      <c r="E124" s="177">
        <v>211</v>
      </c>
      <c r="F124" s="158">
        <v>100</v>
      </c>
      <c r="G124" s="158"/>
      <c r="H124" s="158"/>
      <c r="I124" s="165">
        <v>7059</v>
      </c>
      <c r="J124" s="157"/>
      <c r="K124" s="165">
        <v>7059</v>
      </c>
      <c r="L124" s="157"/>
      <c r="M124" s="165"/>
      <c r="N124" s="165"/>
      <c r="O124" s="165">
        <v>211</v>
      </c>
      <c r="P124" s="165"/>
      <c r="Q124" s="165">
        <v>100</v>
      </c>
      <c r="R124" s="157"/>
      <c r="S124" s="157"/>
      <c r="T124" s="157"/>
      <c r="U124" s="157"/>
      <c r="V124" s="157"/>
      <c r="W124" s="157"/>
      <c r="X124" s="157"/>
      <c r="Y124" s="157"/>
      <c r="AA124" s="106" t="s">
        <v>180</v>
      </c>
      <c r="AB124" s="120"/>
      <c r="AC124" s="113">
        <f t="shared" ref="AC124:AK139" si="3">C124-C177</f>
        <v>6748</v>
      </c>
      <c r="AD124" s="111">
        <f t="shared" si="3"/>
        <v>0</v>
      </c>
      <c r="AE124" s="113">
        <f t="shared" si="3"/>
        <v>211</v>
      </c>
      <c r="AF124" s="111">
        <f t="shared" si="3"/>
        <v>100</v>
      </c>
      <c r="AG124" s="111">
        <f t="shared" si="3"/>
        <v>0</v>
      </c>
      <c r="AH124" s="111">
        <f t="shared" si="3"/>
        <v>0</v>
      </c>
      <c r="AI124" s="111">
        <f t="shared" si="3"/>
        <v>7059</v>
      </c>
      <c r="AJ124" s="113">
        <f t="shared" si="3"/>
        <v>0</v>
      </c>
      <c r="AK124" s="111">
        <f t="shared" si="3"/>
        <v>2214.4258728520408</v>
      </c>
    </row>
    <row r="125" spans="1:37" ht="15">
      <c r="A125" s="157" t="s">
        <v>181</v>
      </c>
      <c r="B125" s="162"/>
      <c r="C125" s="177">
        <v>8866</v>
      </c>
      <c r="D125" s="157"/>
      <c r="E125" s="177">
        <v>4</v>
      </c>
      <c r="F125" s="158"/>
      <c r="G125" s="158"/>
      <c r="H125" s="158"/>
      <c r="I125" s="165">
        <v>8870</v>
      </c>
      <c r="J125" s="165"/>
      <c r="K125" s="165">
        <v>8870</v>
      </c>
      <c r="L125" s="157"/>
      <c r="M125" s="165"/>
      <c r="N125" s="158"/>
      <c r="O125" s="165">
        <v>4</v>
      </c>
      <c r="P125" s="165"/>
      <c r="Q125" s="165">
        <v>0</v>
      </c>
      <c r="R125" s="157"/>
      <c r="S125" s="157"/>
      <c r="T125" s="157"/>
      <c r="U125" s="157"/>
      <c r="V125" s="157"/>
      <c r="W125" s="157"/>
      <c r="X125" s="157"/>
      <c r="Y125" s="157"/>
      <c r="AA125" s="106" t="s">
        <v>181</v>
      </c>
      <c r="AB125" s="120"/>
      <c r="AC125" s="113">
        <f t="shared" si="3"/>
        <v>8866</v>
      </c>
      <c r="AD125" s="111">
        <f t="shared" si="3"/>
        <v>0</v>
      </c>
      <c r="AE125" s="113">
        <f t="shared" si="3"/>
        <v>4</v>
      </c>
      <c r="AF125" s="111">
        <f t="shared" si="3"/>
        <v>0</v>
      </c>
      <c r="AG125" s="111">
        <f t="shared" si="3"/>
        <v>0</v>
      </c>
      <c r="AH125" s="111">
        <f t="shared" si="3"/>
        <v>0</v>
      </c>
      <c r="AI125" s="111">
        <f t="shared" si="3"/>
        <v>8870</v>
      </c>
      <c r="AJ125" s="113">
        <f t="shared" si="3"/>
        <v>0</v>
      </c>
      <c r="AK125" s="122">
        <f t="shared" si="3"/>
        <v>6339.2422282276839</v>
      </c>
    </row>
    <row r="126" spans="1:37" ht="15">
      <c r="A126" s="157" t="s">
        <v>182</v>
      </c>
      <c r="B126" s="162"/>
      <c r="C126" s="179">
        <v>574</v>
      </c>
      <c r="D126" s="167"/>
      <c r="E126" s="179">
        <v>0</v>
      </c>
      <c r="F126" s="167"/>
      <c r="G126" s="159"/>
      <c r="H126" s="159"/>
      <c r="I126" s="166">
        <v>574</v>
      </c>
      <c r="J126" s="179"/>
      <c r="K126" s="166">
        <v>574</v>
      </c>
      <c r="L126" s="157"/>
      <c r="M126" s="165"/>
      <c r="N126" s="165"/>
      <c r="O126" s="166">
        <v>0</v>
      </c>
      <c r="P126" s="165"/>
      <c r="Q126" s="166">
        <v>0</v>
      </c>
      <c r="R126" s="157"/>
      <c r="S126" s="157"/>
      <c r="T126" s="196"/>
      <c r="U126" s="157"/>
      <c r="V126" s="157"/>
      <c r="W126" s="157"/>
      <c r="X126" s="157"/>
      <c r="Y126" s="157"/>
      <c r="AA126" s="106" t="s">
        <v>182</v>
      </c>
      <c r="AB126" s="120"/>
      <c r="AC126" s="115">
        <f t="shared" si="3"/>
        <v>574</v>
      </c>
      <c r="AD126" s="116">
        <f t="shared" si="3"/>
        <v>0</v>
      </c>
      <c r="AE126" s="115">
        <f t="shared" si="3"/>
        <v>0</v>
      </c>
      <c r="AF126" s="116">
        <f t="shared" si="3"/>
        <v>0</v>
      </c>
      <c r="AG126" s="116">
        <f t="shared" si="3"/>
        <v>0</v>
      </c>
      <c r="AH126" s="116">
        <f t="shared" si="3"/>
        <v>0</v>
      </c>
      <c r="AI126" s="116">
        <f t="shared" si="3"/>
        <v>574</v>
      </c>
      <c r="AJ126" s="115">
        <f t="shared" si="3"/>
        <v>0</v>
      </c>
      <c r="AK126" s="124">
        <f t="shared" si="3"/>
        <v>-1399.1285357426675</v>
      </c>
    </row>
    <row r="127" spans="1:37" ht="15">
      <c r="A127" s="157"/>
      <c r="B127" s="162"/>
      <c r="C127" s="177">
        <v>17015</v>
      </c>
      <c r="D127" s="158">
        <v>0</v>
      </c>
      <c r="E127" s="158">
        <v>404</v>
      </c>
      <c r="F127" s="158">
        <v>235</v>
      </c>
      <c r="G127" s="158">
        <v>0</v>
      </c>
      <c r="H127" s="158">
        <v>0</v>
      </c>
      <c r="I127" s="158">
        <v>17654</v>
      </c>
      <c r="J127" s="177">
        <v>0</v>
      </c>
      <c r="K127" s="158">
        <v>17654</v>
      </c>
      <c r="L127" s="157"/>
      <c r="M127" s="158"/>
      <c r="N127" s="158"/>
      <c r="O127" s="158">
        <v>404</v>
      </c>
      <c r="P127" s="158"/>
      <c r="Q127" s="158">
        <v>235</v>
      </c>
      <c r="R127" s="157"/>
      <c r="S127" s="157"/>
      <c r="T127" s="157"/>
      <c r="U127" s="157"/>
      <c r="V127" s="157"/>
      <c r="W127" s="157"/>
      <c r="X127" s="157"/>
      <c r="Y127" s="157"/>
      <c r="AB127" s="120"/>
      <c r="AC127" s="113">
        <f t="shared" si="3"/>
        <v>17015</v>
      </c>
      <c r="AD127" s="111">
        <f t="shared" si="3"/>
        <v>0</v>
      </c>
      <c r="AE127" s="111">
        <f t="shared" si="3"/>
        <v>404</v>
      </c>
      <c r="AF127" s="111">
        <f t="shared" si="3"/>
        <v>235</v>
      </c>
      <c r="AG127" s="111">
        <f t="shared" si="3"/>
        <v>0</v>
      </c>
      <c r="AH127" s="111">
        <f t="shared" si="3"/>
        <v>0</v>
      </c>
      <c r="AI127" s="111">
        <f t="shared" si="3"/>
        <v>17654</v>
      </c>
      <c r="AJ127" s="113">
        <f t="shared" si="3"/>
        <v>0</v>
      </c>
      <c r="AK127" s="111">
        <f t="shared" si="3"/>
        <v>17452.97853897035</v>
      </c>
    </row>
    <row r="128" spans="1:37" ht="15">
      <c r="A128" s="157"/>
      <c r="B128" s="162"/>
      <c r="C128" s="177"/>
      <c r="D128" s="157"/>
      <c r="E128" s="158"/>
      <c r="F128" s="157"/>
      <c r="G128" s="158"/>
      <c r="H128" s="158"/>
      <c r="I128" s="157"/>
      <c r="J128" s="157"/>
      <c r="K128" s="157"/>
      <c r="L128" s="157"/>
      <c r="M128" s="157"/>
      <c r="N128" s="165"/>
      <c r="O128" s="165">
        <v>0</v>
      </c>
      <c r="P128" s="165"/>
      <c r="Q128" s="165">
        <v>0</v>
      </c>
      <c r="R128" s="157"/>
      <c r="S128" s="157"/>
      <c r="T128" s="157"/>
      <c r="U128" s="157"/>
      <c r="V128" s="157"/>
      <c r="W128" s="157"/>
      <c r="X128" s="157"/>
      <c r="Y128" s="157"/>
      <c r="AB128" s="120"/>
      <c r="AC128" s="113">
        <f t="shared" si="3"/>
        <v>0</v>
      </c>
      <c r="AD128" s="111">
        <f t="shared" si="3"/>
        <v>0</v>
      </c>
      <c r="AE128" s="111">
        <f t="shared" si="3"/>
        <v>0</v>
      </c>
      <c r="AF128" s="111">
        <f t="shared" si="3"/>
        <v>0</v>
      </c>
      <c r="AG128" s="111">
        <f t="shared" si="3"/>
        <v>0</v>
      </c>
      <c r="AH128" s="111">
        <f t="shared" si="3"/>
        <v>0</v>
      </c>
      <c r="AI128" s="111">
        <f t="shared" si="3"/>
        <v>0</v>
      </c>
      <c r="AJ128" s="113">
        <f t="shared" si="3"/>
        <v>0</v>
      </c>
      <c r="AK128" s="111">
        <f t="shared" si="3"/>
        <v>-356.607775</v>
      </c>
    </row>
    <row r="129" spans="1:37" ht="15">
      <c r="A129" s="157" t="s">
        <v>183</v>
      </c>
      <c r="B129" s="125"/>
      <c r="C129" s="177">
        <v>-3569</v>
      </c>
      <c r="D129" s="157"/>
      <c r="E129" s="158">
        <v>17</v>
      </c>
      <c r="F129" s="157"/>
      <c r="G129" s="158"/>
      <c r="H129" s="158"/>
      <c r="I129" s="165">
        <v>-3552</v>
      </c>
      <c r="J129" s="157"/>
      <c r="K129" s="165">
        <v>-3552</v>
      </c>
      <c r="L129" s="157"/>
      <c r="M129" s="165"/>
      <c r="N129" s="165"/>
      <c r="O129" s="165">
        <v>17</v>
      </c>
      <c r="P129" s="165"/>
      <c r="Q129" s="165">
        <v>0</v>
      </c>
      <c r="R129" s="157"/>
      <c r="S129" s="157"/>
      <c r="T129" s="157"/>
      <c r="AA129" s="106" t="s">
        <v>183</v>
      </c>
      <c r="AB129" s="125"/>
      <c r="AC129" s="113">
        <f t="shared" si="3"/>
        <v>-3569</v>
      </c>
      <c r="AD129" s="111">
        <f t="shared" si="3"/>
        <v>0</v>
      </c>
      <c r="AE129" s="111">
        <f t="shared" si="3"/>
        <v>17</v>
      </c>
      <c r="AF129" s="111">
        <f t="shared" si="3"/>
        <v>0</v>
      </c>
      <c r="AG129" s="111">
        <f t="shared" si="3"/>
        <v>0</v>
      </c>
      <c r="AH129" s="111">
        <f t="shared" si="3"/>
        <v>0</v>
      </c>
      <c r="AI129" s="111">
        <f t="shared" si="3"/>
        <v>-3552</v>
      </c>
      <c r="AJ129" s="113">
        <f t="shared" si="3"/>
        <v>0</v>
      </c>
      <c r="AK129" s="111">
        <f t="shared" si="3"/>
        <v>-3333.6666666666665</v>
      </c>
    </row>
    <row r="130" spans="1:37" ht="15">
      <c r="A130" s="157" t="s">
        <v>184</v>
      </c>
      <c r="B130" s="162"/>
      <c r="C130" s="179">
        <v>1395</v>
      </c>
      <c r="D130" s="167"/>
      <c r="E130" s="179">
        <v>0</v>
      </c>
      <c r="F130" s="159"/>
      <c r="G130" s="159"/>
      <c r="H130" s="159"/>
      <c r="I130" s="166">
        <v>1395</v>
      </c>
      <c r="J130" s="167"/>
      <c r="K130" s="166">
        <v>1395</v>
      </c>
      <c r="L130" s="157"/>
      <c r="M130" s="165"/>
      <c r="N130" s="165"/>
      <c r="O130" s="166">
        <v>0</v>
      </c>
      <c r="P130" s="165"/>
      <c r="Q130" s="166">
        <v>0</v>
      </c>
      <c r="R130" s="157"/>
      <c r="S130" s="157"/>
      <c r="T130" s="157"/>
      <c r="AA130" s="106" t="s">
        <v>184</v>
      </c>
      <c r="AB130" s="120"/>
      <c r="AC130" s="115">
        <f t="shared" si="3"/>
        <v>1395</v>
      </c>
      <c r="AD130" s="116">
        <f t="shared" si="3"/>
        <v>0</v>
      </c>
      <c r="AE130" s="115">
        <f t="shared" si="3"/>
        <v>0</v>
      </c>
      <c r="AF130" s="116">
        <f t="shared" si="3"/>
        <v>0</v>
      </c>
      <c r="AG130" s="116">
        <f t="shared" si="3"/>
        <v>0</v>
      </c>
      <c r="AH130" s="116">
        <f t="shared" si="3"/>
        <v>0</v>
      </c>
      <c r="AI130" s="116">
        <f t="shared" si="3"/>
        <v>1395</v>
      </c>
      <c r="AJ130" s="116">
        <f t="shared" si="3"/>
        <v>0</v>
      </c>
      <c r="AK130" s="124">
        <f t="shared" si="3"/>
        <v>1355</v>
      </c>
    </row>
    <row r="131" spans="1:37" ht="15">
      <c r="A131" s="157"/>
      <c r="B131" s="162"/>
      <c r="C131" s="177"/>
      <c r="D131" s="157"/>
      <c r="E131" s="158"/>
      <c r="F131" s="157"/>
      <c r="G131" s="158"/>
      <c r="H131" s="158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AB131" s="120"/>
      <c r="AC131" s="113">
        <f t="shared" si="3"/>
        <v>0</v>
      </c>
      <c r="AD131" s="111">
        <f t="shared" si="3"/>
        <v>0</v>
      </c>
      <c r="AE131" s="111">
        <f t="shared" si="3"/>
        <v>0</v>
      </c>
      <c r="AF131" s="111">
        <f t="shared" si="3"/>
        <v>0</v>
      </c>
      <c r="AG131" s="111">
        <f t="shared" si="3"/>
        <v>0</v>
      </c>
      <c r="AH131" s="111">
        <f t="shared" si="3"/>
        <v>0</v>
      </c>
      <c r="AI131" s="111">
        <f t="shared" si="3"/>
        <v>0</v>
      </c>
      <c r="AJ131" s="111">
        <f t="shared" si="3"/>
        <v>0</v>
      </c>
      <c r="AK131" s="111">
        <f t="shared" si="3"/>
        <v>-250</v>
      </c>
    </row>
    <row r="132" spans="1:37" ht="15">
      <c r="A132" s="157" t="s">
        <v>185</v>
      </c>
      <c r="B132" s="162"/>
      <c r="C132" s="158">
        <v>-1245</v>
      </c>
      <c r="D132" s="158">
        <v>0</v>
      </c>
      <c r="E132" s="158">
        <v>-1907</v>
      </c>
      <c r="F132" s="158">
        <v>-5403</v>
      </c>
      <c r="G132" s="158">
        <v>0</v>
      </c>
      <c r="H132" s="158">
        <v>0</v>
      </c>
      <c r="I132" s="158">
        <v>-8555</v>
      </c>
      <c r="J132" s="158">
        <v>-5024</v>
      </c>
      <c r="K132" s="158">
        <v>-3531</v>
      </c>
      <c r="L132" s="157"/>
      <c r="M132" s="158"/>
      <c r="N132" s="158"/>
      <c r="O132" s="158">
        <v>-2312</v>
      </c>
      <c r="P132" s="158"/>
      <c r="Q132" s="158">
        <v>-5403</v>
      </c>
      <c r="R132" s="157"/>
      <c r="S132" s="157"/>
      <c r="T132" s="157"/>
      <c r="AA132" s="106" t="s">
        <v>185</v>
      </c>
      <c r="AB132" s="120"/>
      <c r="AC132" s="111">
        <f t="shared" si="3"/>
        <v>-1245</v>
      </c>
      <c r="AD132" s="111">
        <f t="shared" si="3"/>
        <v>0</v>
      </c>
      <c r="AE132" s="111">
        <f t="shared" si="3"/>
        <v>-1907</v>
      </c>
      <c r="AF132" s="111">
        <f t="shared" si="3"/>
        <v>-5403</v>
      </c>
      <c r="AG132" s="111">
        <f t="shared" si="3"/>
        <v>0</v>
      </c>
      <c r="AH132" s="111">
        <f t="shared" si="3"/>
        <v>0</v>
      </c>
      <c r="AI132" s="111">
        <f t="shared" si="3"/>
        <v>-8555</v>
      </c>
      <c r="AJ132" s="111">
        <f t="shared" si="3"/>
        <v>-5024</v>
      </c>
      <c r="AK132" s="111">
        <f t="shared" si="3"/>
        <v>-3522.6666666666665</v>
      </c>
    </row>
    <row r="133" spans="1:37" ht="15">
      <c r="A133" s="157"/>
      <c r="B133" s="162"/>
      <c r="C133" s="158"/>
      <c r="D133" s="157"/>
      <c r="E133" s="158"/>
      <c r="F133" s="157"/>
      <c r="G133" s="158"/>
      <c r="H133" s="158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AB133" s="120"/>
      <c r="AC133" s="111">
        <f t="shared" si="3"/>
        <v>0</v>
      </c>
      <c r="AD133" s="111">
        <f t="shared" si="3"/>
        <v>0</v>
      </c>
      <c r="AE133" s="111">
        <f t="shared" si="3"/>
        <v>0</v>
      </c>
      <c r="AF133" s="111">
        <f t="shared" si="3"/>
        <v>0</v>
      </c>
      <c r="AG133" s="111">
        <f t="shared" si="3"/>
        <v>0</v>
      </c>
      <c r="AH133" s="111">
        <f t="shared" si="3"/>
        <v>0</v>
      </c>
      <c r="AI133" s="111">
        <f t="shared" si="3"/>
        <v>0</v>
      </c>
      <c r="AJ133" s="111">
        <f t="shared" si="3"/>
        <v>0</v>
      </c>
      <c r="AK133" s="111">
        <f t="shared" si="3"/>
        <v>0</v>
      </c>
    </row>
    <row r="134" spans="1:37" ht="15">
      <c r="A134" s="157" t="s">
        <v>186</v>
      </c>
      <c r="B134" s="162"/>
      <c r="C134" s="188">
        <v>175</v>
      </c>
      <c r="D134" s="157"/>
      <c r="E134" s="158">
        <v>0</v>
      </c>
      <c r="F134" s="157"/>
      <c r="G134" s="158"/>
      <c r="H134" s="158"/>
      <c r="I134" s="165">
        <v>175</v>
      </c>
      <c r="J134" s="157"/>
      <c r="K134" s="165">
        <v>175</v>
      </c>
      <c r="L134" s="157"/>
      <c r="M134" s="165"/>
      <c r="N134" s="165"/>
      <c r="O134" s="165"/>
      <c r="P134" s="165"/>
      <c r="Q134" s="165">
        <v>0</v>
      </c>
      <c r="R134" s="157"/>
      <c r="S134" s="157"/>
      <c r="T134" s="165"/>
      <c r="AA134" s="106" t="s">
        <v>186</v>
      </c>
      <c r="AB134" s="120"/>
      <c r="AC134" s="123">
        <f t="shared" si="3"/>
        <v>175</v>
      </c>
      <c r="AD134" s="111">
        <f t="shared" si="3"/>
        <v>0</v>
      </c>
      <c r="AE134" s="111">
        <f t="shared" si="3"/>
        <v>0</v>
      </c>
      <c r="AF134" s="111">
        <f t="shared" si="3"/>
        <v>0</v>
      </c>
      <c r="AG134" s="111">
        <f t="shared" si="3"/>
        <v>0</v>
      </c>
      <c r="AH134" s="111">
        <f t="shared" si="3"/>
        <v>0</v>
      </c>
      <c r="AI134" s="111">
        <f t="shared" si="3"/>
        <v>175</v>
      </c>
      <c r="AJ134" s="111">
        <f t="shared" si="3"/>
        <v>0</v>
      </c>
      <c r="AK134" s="111">
        <f t="shared" si="3"/>
        <v>1842.3769621482606</v>
      </c>
    </row>
    <row r="135" spans="1:37" ht="15">
      <c r="A135" s="157"/>
      <c r="B135" s="162"/>
      <c r="C135" s="159"/>
      <c r="D135" s="167"/>
      <c r="E135" s="159"/>
      <c r="F135" s="167"/>
      <c r="G135" s="159"/>
      <c r="H135" s="159"/>
      <c r="I135" s="167"/>
      <c r="J135" s="167"/>
      <c r="K135" s="167"/>
      <c r="L135" s="157"/>
      <c r="M135" s="157"/>
      <c r="N135" s="157"/>
      <c r="O135" s="167"/>
      <c r="P135" s="157"/>
      <c r="Q135" s="167"/>
      <c r="R135" s="157"/>
      <c r="S135" s="157"/>
      <c r="T135" s="157"/>
      <c r="AB135" s="120"/>
      <c r="AC135" s="116">
        <f t="shared" si="3"/>
        <v>0</v>
      </c>
      <c r="AD135" s="116">
        <f t="shared" si="3"/>
        <v>0</v>
      </c>
      <c r="AE135" s="116">
        <f t="shared" si="3"/>
        <v>0</v>
      </c>
      <c r="AF135" s="116">
        <f t="shared" si="3"/>
        <v>0</v>
      </c>
      <c r="AG135" s="116">
        <f t="shared" si="3"/>
        <v>0</v>
      </c>
      <c r="AH135" s="116">
        <f t="shared" si="3"/>
        <v>0</v>
      </c>
      <c r="AI135" s="116">
        <f t="shared" si="3"/>
        <v>0</v>
      </c>
      <c r="AJ135" s="116">
        <f t="shared" si="3"/>
        <v>0</v>
      </c>
      <c r="AK135" s="116">
        <f t="shared" si="3"/>
        <v>-140.84719683872652</v>
      </c>
    </row>
    <row r="136" spans="1:37" ht="15">
      <c r="A136" s="157" t="s">
        <v>187</v>
      </c>
      <c r="B136" s="162"/>
      <c r="C136" s="158">
        <v>-1070</v>
      </c>
      <c r="D136" s="158">
        <v>0</v>
      </c>
      <c r="E136" s="158">
        <v>-1907</v>
      </c>
      <c r="F136" s="158">
        <v>-5403</v>
      </c>
      <c r="G136" s="158">
        <v>0</v>
      </c>
      <c r="H136" s="158">
        <v>0</v>
      </c>
      <c r="I136" s="158">
        <v>-8380</v>
      </c>
      <c r="J136" s="158">
        <v>-5024</v>
      </c>
      <c r="K136" s="158">
        <v>-3356</v>
      </c>
      <c r="L136" s="157"/>
      <c r="M136" s="158"/>
      <c r="N136" s="158"/>
      <c r="O136" s="158">
        <v>-2312</v>
      </c>
      <c r="P136" s="158"/>
      <c r="Q136" s="158">
        <v>-5403</v>
      </c>
      <c r="R136" s="157"/>
      <c r="S136" s="157"/>
      <c r="T136" s="157"/>
      <c r="AA136" s="106" t="s">
        <v>187</v>
      </c>
      <c r="AB136" s="120"/>
      <c r="AC136" s="111">
        <f t="shared" si="3"/>
        <v>-1070</v>
      </c>
      <c r="AD136" s="111">
        <f t="shared" si="3"/>
        <v>0</v>
      </c>
      <c r="AE136" s="111">
        <f t="shared" si="3"/>
        <v>-1907</v>
      </c>
      <c r="AF136" s="111">
        <f t="shared" si="3"/>
        <v>-5403</v>
      </c>
      <c r="AG136" s="111">
        <f t="shared" si="3"/>
        <v>0</v>
      </c>
      <c r="AH136" s="111">
        <f t="shared" si="3"/>
        <v>0</v>
      </c>
      <c r="AI136" s="111">
        <f t="shared" si="3"/>
        <v>-8380</v>
      </c>
      <c r="AJ136" s="111">
        <f t="shared" si="3"/>
        <v>-5024</v>
      </c>
      <c r="AK136" s="111">
        <f t="shared" si="3"/>
        <v>-2689.2710906615084</v>
      </c>
    </row>
    <row r="137" spans="1:37" ht="15">
      <c r="A137" s="157"/>
      <c r="B137" s="162"/>
      <c r="C137" s="158"/>
      <c r="D137" s="157"/>
      <c r="E137" s="158"/>
      <c r="F137" s="157"/>
      <c r="G137" s="158"/>
      <c r="H137" s="158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AB137" s="120"/>
      <c r="AC137" s="111">
        <f t="shared" si="3"/>
        <v>0</v>
      </c>
      <c r="AD137" s="111">
        <f t="shared" si="3"/>
        <v>0</v>
      </c>
      <c r="AE137" s="111">
        <f t="shared" si="3"/>
        <v>0</v>
      </c>
      <c r="AF137" s="111">
        <f t="shared" si="3"/>
        <v>0</v>
      </c>
      <c r="AG137" s="111">
        <f t="shared" si="3"/>
        <v>0</v>
      </c>
      <c r="AH137" s="111">
        <f t="shared" si="3"/>
        <v>0</v>
      </c>
      <c r="AI137" s="111">
        <f t="shared" si="3"/>
        <v>0</v>
      </c>
      <c r="AJ137" s="111">
        <f t="shared" si="3"/>
        <v>0</v>
      </c>
      <c r="AK137" s="111">
        <f t="shared" si="3"/>
        <v>1141.4952496484957</v>
      </c>
    </row>
    <row r="138" spans="1:37" ht="15">
      <c r="A138" s="157" t="s">
        <v>188</v>
      </c>
      <c r="B138" s="162"/>
      <c r="C138" s="188">
        <v>442</v>
      </c>
      <c r="D138" s="157"/>
      <c r="E138" s="158"/>
      <c r="F138" s="157"/>
      <c r="G138" s="158"/>
      <c r="H138" s="158"/>
      <c r="I138" s="165">
        <v>442</v>
      </c>
      <c r="J138" s="157"/>
      <c r="K138" s="165">
        <v>442</v>
      </c>
      <c r="L138" s="157"/>
      <c r="M138" s="165"/>
      <c r="N138" s="165"/>
      <c r="O138" s="165">
        <v>0</v>
      </c>
      <c r="P138" s="165"/>
      <c r="Q138" s="165">
        <v>0</v>
      </c>
      <c r="R138" s="157"/>
      <c r="S138" s="157"/>
      <c r="T138" s="188">
        <v>502</v>
      </c>
      <c r="AA138" s="106" t="s">
        <v>188</v>
      </c>
      <c r="AB138" s="120"/>
      <c r="AC138" s="123">
        <f t="shared" si="3"/>
        <v>442</v>
      </c>
      <c r="AD138" s="111">
        <f t="shared" si="3"/>
        <v>0</v>
      </c>
      <c r="AE138" s="111">
        <f t="shared" si="3"/>
        <v>0</v>
      </c>
      <c r="AF138" s="111">
        <f t="shared" si="3"/>
        <v>0</v>
      </c>
      <c r="AG138" s="111">
        <f t="shared" si="3"/>
        <v>0</v>
      </c>
      <c r="AH138" s="111">
        <f t="shared" si="3"/>
        <v>0</v>
      </c>
      <c r="AI138" s="111">
        <f t="shared" si="3"/>
        <v>442</v>
      </c>
      <c r="AJ138" s="111">
        <f t="shared" si="3"/>
        <v>0</v>
      </c>
      <c r="AK138" s="111">
        <f t="shared" si="3"/>
        <v>1238.9731712558578</v>
      </c>
    </row>
    <row r="139" spans="1:37" ht="15">
      <c r="A139" s="157" t="s">
        <v>189</v>
      </c>
      <c r="B139" s="162"/>
      <c r="C139" s="188">
        <v>1607</v>
      </c>
      <c r="D139" s="157"/>
      <c r="E139" s="158"/>
      <c r="F139" s="157"/>
      <c r="G139" s="158"/>
      <c r="H139" s="158"/>
      <c r="I139" s="165">
        <v>1607</v>
      </c>
      <c r="J139" s="157"/>
      <c r="K139" s="165">
        <v>1607</v>
      </c>
      <c r="L139" s="157"/>
      <c r="M139" s="165"/>
      <c r="N139" s="165"/>
      <c r="O139" s="165">
        <v>0</v>
      </c>
      <c r="P139" s="165"/>
      <c r="Q139" s="165">
        <v>0</v>
      </c>
      <c r="R139" s="157"/>
      <c r="S139" s="157"/>
      <c r="T139" s="188">
        <v>1769</v>
      </c>
      <c r="AA139" s="106" t="s">
        <v>189</v>
      </c>
      <c r="AB139" s="120"/>
      <c r="AC139" s="123">
        <f t="shared" si="3"/>
        <v>1607</v>
      </c>
      <c r="AD139" s="111">
        <f t="shared" si="3"/>
        <v>0</v>
      </c>
      <c r="AE139" s="111">
        <f t="shared" si="3"/>
        <v>0</v>
      </c>
      <c r="AF139" s="111">
        <f t="shared" si="3"/>
        <v>0</v>
      </c>
      <c r="AG139" s="111">
        <f t="shared" si="3"/>
        <v>0</v>
      </c>
      <c r="AH139" s="111">
        <f t="shared" si="3"/>
        <v>0</v>
      </c>
      <c r="AI139" s="111">
        <f t="shared" si="3"/>
        <v>1607</v>
      </c>
      <c r="AJ139" s="111">
        <f t="shared" si="3"/>
        <v>0</v>
      </c>
      <c r="AK139" s="111">
        <f t="shared" si="3"/>
        <v>3955.0360527856596</v>
      </c>
    </row>
    <row r="140" spans="1:37" ht="15">
      <c r="A140" s="164" t="s">
        <v>190</v>
      </c>
      <c r="B140" s="162"/>
      <c r="C140" s="117">
        <v>-615</v>
      </c>
      <c r="D140" s="157"/>
      <c r="E140" s="158"/>
      <c r="F140" s="157"/>
      <c r="G140" s="158"/>
      <c r="H140" s="158"/>
      <c r="I140" s="165">
        <v>-615</v>
      </c>
      <c r="J140" s="165">
        <v>0</v>
      </c>
      <c r="K140" s="165">
        <v>-615</v>
      </c>
      <c r="L140" s="157"/>
      <c r="M140" s="165"/>
      <c r="N140" s="165"/>
      <c r="O140" s="165">
        <v>0</v>
      </c>
      <c r="P140" s="165"/>
      <c r="Q140" s="165">
        <v>0</v>
      </c>
      <c r="R140" s="157"/>
      <c r="S140" s="157"/>
      <c r="T140" s="157"/>
      <c r="AA140" s="114" t="s">
        <v>190</v>
      </c>
      <c r="AB140" s="120"/>
      <c r="AC140" s="117">
        <f t="shared" ref="AC140:AK145" si="4">C140-C193</f>
        <v>-615</v>
      </c>
      <c r="AD140" s="111">
        <f t="shared" si="4"/>
        <v>0</v>
      </c>
      <c r="AE140" s="111">
        <f t="shared" si="4"/>
        <v>0</v>
      </c>
      <c r="AF140" s="111">
        <f t="shared" si="4"/>
        <v>0</v>
      </c>
      <c r="AG140" s="111">
        <f t="shared" si="4"/>
        <v>0</v>
      </c>
      <c r="AH140" s="111">
        <f t="shared" si="4"/>
        <v>0</v>
      </c>
      <c r="AI140" s="111">
        <f t="shared" si="4"/>
        <v>-615</v>
      </c>
      <c r="AJ140" s="111">
        <f t="shared" si="4"/>
        <v>0</v>
      </c>
      <c r="AK140" s="111">
        <f t="shared" si="4"/>
        <v>-1307.3999532733528</v>
      </c>
    </row>
    <row r="141" spans="1:37" ht="15">
      <c r="A141" s="157" t="s">
        <v>191</v>
      </c>
      <c r="B141" s="162"/>
      <c r="C141" s="188">
        <v>640</v>
      </c>
      <c r="D141" s="157"/>
      <c r="E141" s="158">
        <v>-12</v>
      </c>
      <c r="F141" s="157"/>
      <c r="G141" s="158"/>
      <c r="H141" s="158"/>
      <c r="I141" s="165">
        <v>628</v>
      </c>
      <c r="J141" s="157"/>
      <c r="K141" s="165">
        <v>628</v>
      </c>
      <c r="L141" s="157"/>
      <c r="M141" s="165"/>
      <c r="N141" s="165"/>
      <c r="O141" s="165">
        <v>-12</v>
      </c>
      <c r="P141" s="165"/>
      <c r="Q141" s="165">
        <v>0</v>
      </c>
      <c r="R141" s="157"/>
      <c r="S141" s="157"/>
      <c r="T141" s="157"/>
      <c r="AA141" s="106" t="s">
        <v>191</v>
      </c>
      <c r="AB141" s="120"/>
      <c r="AC141" s="123">
        <f t="shared" si="4"/>
        <v>640</v>
      </c>
      <c r="AD141" s="111">
        <f t="shared" si="4"/>
        <v>0</v>
      </c>
      <c r="AE141" s="111">
        <f t="shared" si="4"/>
        <v>-12</v>
      </c>
      <c r="AF141" s="111">
        <f t="shared" si="4"/>
        <v>0</v>
      </c>
      <c r="AG141" s="111">
        <f t="shared" si="4"/>
        <v>0</v>
      </c>
      <c r="AH141" s="111">
        <f t="shared" si="4"/>
        <v>0</v>
      </c>
      <c r="AI141" s="111">
        <f t="shared" si="4"/>
        <v>628</v>
      </c>
      <c r="AJ141" s="111">
        <f t="shared" si="4"/>
        <v>0</v>
      </c>
      <c r="AK141" s="111">
        <f t="shared" si="4"/>
        <v>-447.39833966820834</v>
      </c>
    </row>
    <row r="142" spans="1:37" ht="15">
      <c r="A142" s="157" t="s">
        <v>192</v>
      </c>
      <c r="B142" s="162"/>
      <c r="C142" s="158"/>
      <c r="D142" s="157"/>
      <c r="E142" s="158"/>
      <c r="F142" s="157"/>
      <c r="G142" s="158"/>
      <c r="H142" s="158"/>
      <c r="I142" s="165">
        <v>0</v>
      </c>
      <c r="J142" s="158">
        <v>-15</v>
      </c>
      <c r="K142" s="165">
        <v>-15</v>
      </c>
      <c r="L142" s="157"/>
      <c r="M142" s="165"/>
      <c r="N142" s="165"/>
      <c r="O142" s="165">
        <v>0</v>
      </c>
      <c r="P142" s="165"/>
      <c r="Q142" s="165">
        <v>0</v>
      </c>
      <c r="R142" s="157"/>
      <c r="S142" s="157"/>
      <c r="T142" s="157"/>
      <c r="AA142" s="106" t="s">
        <v>192</v>
      </c>
      <c r="AB142" s="120"/>
      <c r="AC142" s="111">
        <f t="shared" si="4"/>
        <v>0</v>
      </c>
      <c r="AD142" s="111">
        <f t="shared" si="4"/>
        <v>0</v>
      </c>
      <c r="AE142" s="111">
        <f t="shared" si="4"/>
        <v>0</v>
      </c>
      <c r="AF142" s="111">
        <f t="shared" si="4"/>
        <v>0</v>
      </c>
      <c r="AG142" s="111">
        <f t="shared" si="4"/>
        <v>0</v>
      </c>
      <c r="AH142" s="111">
        <f t="shared" si="4"/>
        <v>0</v>
      </c>
      <c r="AI142" s="111">
        <f t="shared" si="4"/>
        <v>0</v>
      </c>
      <c r="AJ142" s="111">
        <f t="shared" si="4"/>
        <v>-15</v>
      </c>
      <c r="AK142" s="111">
        <f t="shared" si="4"/>
        <v>-15.063567849046093</v>
      </c>
    </row>
    <row r="143" spans="1:37" ht="15">
      <c r="A143" s="157"/>
      <c r="B143" s="162"/>
      <c r="C143" s="158"/>
      <c r="D143" s="157"/>
      <c r="E143" s="158"/>
      <c r="F143" s="157"/>
      <c r="G143" s="158"/>
      <c r="H143" s="158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AB143" s="120"/>
      <c r="AC143" s="111">
        <f t="shared" si="4"/>
        <v>0</v>
      </c>
      <c r="AD143" s="111">
        <f t="shared" si="4"/>
        <v>0</v>
      </c>
      <c r="AE143" s="111">
        <f t="shared" si="4"/>
        <v>0</v>
      </c>
      <c r="AF143" s="111">
        <f t="shared" si="4"/>
        <v>0</v>
      </c>
      <c r="AG143" s="111">
        <f t="shared" si="4"/>
        <v>0</v>
      </c>
      <c r="AH143" s="111">
        <f t="shared" si="4"/>
        <v>0</v>
      </c>
      <c r="AI143" s="111">
        <f t="shared" si="4"/>
        <v>0</v>
      </c>
      <c r="AJ143" s="111">
        <f t="shared" si="4"/>
        <v>0</v>
      </c>
      <c r="AK143" s="111">
        <f t="shared" si="4"/>
        <v>0</v>
      </c>
    </row>
    <row r="144" spans="1:37" ht="15.75" thickBot="1">
      <c r="A144" s="157" t="s">
        <v>193</v>
      </c>
      <c r="B144" s="162"/>
      <c r="C144" s="180">
        <v>-3144</v>
      </c>
      <c r="D144" s="180">
        <v>0</v>
      </c>
      <c r="E144" s="180">
        <v>-1895</v>
      </c>
      <c r="F144" s="160">
        <v>-5403</v>
      </c>
      <c r="G144" s="160">
        <v>0</v>
      </c>
      <c r="H144" s="160">
        <v>0</v>
      </c>
      <c r="I144" s="160">
        <v>-10442</v>
      </c>
      <c r="J144" s="160">
        <v>-5009</v>
      </c>
      <c r="K144" s="160">
        <v>-5403</v>
      </c>
      <c r="L144" s="157"/>
      <c r="M144" s="161"/>
      <c r="N144" s="161"/>
      <c r="O144" s="160">
        <v>-2300</v>
      </c>
      <c r="P144" s="161"/>
      <c r="Q144" s="160">
        <v>-5403</v>
      </c>
      <c r="R144" s="157"/>
      <c r="S144" s="157"/>
      <c r="T144" s="157"/>
      <c r="AA144" s="106" t="s">
        <v>193</v>
      </c>
      <c r="AB144" s="120"/>
      <c r="AC144" s="126">
        <f t="shared" si="4"/>
        <v>-3144</v>
      </c>
      <c r="AD144" s="126">
        <f t="shared" si="4"/>
        <v>0</v>
      </c>
      <c r="AE144" s="126">
        <f t="shared" si="4"/>
        <v>-1895</v>
      </c>
      <c r="AF144" s="118">
        <f t="shared" si="4"/>
        <v>-5403</v>
      </c>
      <c r="AG144" s="118">
        <f t="shared" si="4"/>
        <v>0</v>
      </c>
      <c r="AH144" s="118">
        <f t="shared" si="4"/>
        <v>0</v>
      </c>
      <c r="AI144" s="118">
        <f t="shared" si="4"/>
        <v>-10442</v>
      </c>
      <c r="AJ144" s="118">
        <f t="shared" si="4"/>
        <v>-5009</v>
      </c>
      <c r="AK144" s="118">
        <f t="shared" si="4"/>
        <v>-5403</v>
      </c>
    </row>
    <row r="145" spans="1:37" ht="15.75" thickTop="1">
      <c r="A145" s="157"/>
      <c r="B145" s="163"/>
      <c r="C145" s="165"/>
      <c r="D145" s="157"/>
      <c r="E145" s="158"/>
      <c r="F145" s="157"/>
      <c r="G145" s="157"/>
      <c r="H145" s="157"/>
      <c r="I145" s="157"/>
      <c r="J145" s="157"/>
      <c r="K145" s="165">
        <v>0</v>
      </c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AB145" s="127"/>
      <c r="AC145" s="111">
        <f t="shared" si="4"/>
        <v>0</v>
      </c>
      <c r="AD145" s="111">
        <f t="shared" si="4"/>
        <v>0</v>
      </c>
      <c r="AE145" s="111">
        <f t="shared" si="4"/>
        <v>0</v>
      </c>
      <c r="AF145" s="111">
        <f t="shared" si="4"/>
        <v>0</v>
      </c>
      <c r="AG145" s="111">
        <f t="shared" si="4"/>
        <v>0</v>
      </c>
      <c r="AH145" s="111">
        <f t="shared" si="4"/>
        <v>0</v>
      </c>
      <c r="AI145" s="111">
        <f t="shared" si="4"/>
        <v>0</v>
      </c>
      <c r="AJ145" s="111">
        <f t="shared" si="4"/>
        <v>0</v>
      </c>
      <c r="AK145" s="111">
        <f t="shared" si="4"/>
        <v>-927.06666666666672</v>
      </c>
    </row>
    <row r="146" spans="1:37">
      <c r="A146" s="157"/>
      <c r="B146" s="157"/>
      <c r="C146" s="157"/>
      <c r="D146" s="157"/>
      <c r="E146" s="165"/>
      <c r="F146" s="157"/>
      <c r="G146" s="165"/>
      <c r="H146" s="158"/>
      <c r="I146" s="157"/>
      <c r="J146" s="165"/>
      <c r="K146" s="165"/>
      <c r="L146" s="165"/>
      <c r="M146" s="165"/>
      <c r="N146" s="157"/>
      <c r="O146" s="157"/>
      <c r="P146" s="157"/>
      <c r="Q146" s="157"/>
      <c r="R146" s="157"/>
      <c r="S146" s="157"/>
      <c r="T146" s="157"/>
      <c r="U146" s="165"/>
      <c r="V146" s="157"/>
    </row>
    <row r="147" spans="1:37">
      <c r="A147" s="157"/>
      <c r="B147" s="157"/>
      <c r="C147" s="165"/>
      <c r="D147" s="157"/>
      <c r="E147" s="165"/>
      <c r="F147" s="165"/>
      <c r="G147" s="157"/>
      <c r="H147" s="158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</row>
    <row r="148" spans="1:37">
      <c r="A148" s="157"/>
      <c r="B148" s="157"/>
      <c r="C148" s="165"/>
      <c r="D148" s="157"/>
      <c r="E148" s="157"/>
      <c r="F148" s="165"/>
      <c r="G148" s="165"/>
      <c r="H148" s="158"/>
      <c r="I148" s="157"/>
      <c r="J148" s="157"/>
      <c r="K148" s="165"/>
      <c r="L148" s="157"/>
      <c r="M148" s="157"/>
      <c r="N148" s="157"/>
      <c r="O148" s="157"/>
      <c r="P148" s="157"/>
      <c r="Q148" s="165"/>
      <c r="R148" s="157"/>
      <c r="S148" s="157"/>
      <c r="T148" s="164" t="s">
        <v>196</v>
      </c>
      <c r="U148" s="157"/>
      <c r="V148" s="157"/>
    </row>
    <row r="149" spans="1:37">
      <c r="A149" s="164"/>
      <c r="B149" s="157"/>
      <c r="C149" s="157"/>
      <c r="D149" s="157"/>
      <c r="E149" s="157"/>
      <c r="F149" s="157"/>
      <c r="G149" s="157"/>
      <c r="H149" s="158"/>
      <c r="I149" s="157"/>
      <c r="J149" s="157"/>
      <c r="K149" s="165"/>
      <c r="L149" s="157"/>
      <c r="M149" s="157"/>
      <c r="N149" s="157"/>
      <c r="O149" s="157"/>
      <c r="P149" s="157"/>
      <c r="Q149" s="165"/>
      <c r="R149" s="157"/>
      <c r="S149" s="157"/>
      <c r="T149" s="164" t="s">
        <v>198</v>
      </c>
      <c r="U149" s="164" t="s">
        <v>72</v>
      </c>
      <c r="V149" s="164" t="s">
        <v>84</v>
      </c>
    </row>
    <row r="150" spans="1:37">
      <c r="A150" s="164"/>
      <c r="B150" s="157"/>
      <c r="C150" s="157"/>
      <c r="D150" s="157"/>
      <c r="E150" s="157"/>
      <c r="F150" s="157"/>
      <c r="G150" s="157"/>
      <c r="H150" s="158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64" t="s">
        <v>200</v>
      </c>
      <c r="U150" s="158">
        <v>-1710</v>
      </c>
      <c r="V150" s="158">
        <v>-3984</v>
      </c>
    </row>
    <row r="151" spans="1:37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64" t="s">
        <v>202</v>
      </c>
      <c r="U151" s="158">
        <v>6347</v>
      </c>
      <c r="V151" s="158">
        <v>6370</v>
      </c>
    </row>
    <row r="152" spans="1:37" ht="13.5" thickBot="1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64" t="s">
        <v>203</v>
      </c>
      <c r="U152" s="158">
        <v>8866</v>
      </c>
      <c r="V152" s="158">
        <v>8870</v>
      </c>
    </row>
    <row r="153" spans="1:37" ht="15">
      <c r="A153" s="190" t="s">
        <v>194</v>
      </c>
      <c r="B153" s="190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64" t="s">
        <v>205</v>
      </c>
      <c r="U153" s="158">
        <v>7107</v>
      </c>
      <c r="V153" s="158">
        <v>7644</v>
      </c>
    </row>
    <row r="154" spans="1:37" ht="15">
      <c r="A154" s="128" t="s">
        <v>195</v>
      </c>
      <c r="B154" s="191"/>
      <c r="C154" s="157"/>
      <c r="D154" s="157"/>
      <c r="E154" s="157"/>
      <c r="F154" s="157"/>
      <c r="G154" s="157"/>
      <c r="H154" s="157"/>
      <c r="I154" s="157"/>
      <c r="J154" s="157"/>
      <c r="K154" s="191">
        <v>19692.932444597227</v>
      </c>
      <c r="L154" s="157"/>
      <c r="M154" s="157"/>
      <c r="N154" s="157"/>
      <c r="O154" s="157"/>
      <c r="P154" s="157"/>
      <c r="Q154" s="157"/>
      <c r="R154" s="157"/>
      <c r="S154" s="157"/>
      <c r="T154" s="164" t="s">
        <v>207</v>
      </c>
      <c r="U154" s="158">
        <v>7916</v>
      </c>
      <c r="V154" s="158">
        <v>6160</v>
      </c>
    </row>
    <row r="155" spans="1:37" ht="15">
      <c r="A155" s="129" t="s">
        <v>197</v>
      </c>
      <c r="B155" s="130"/>
      <c r="C155" s="157"/>
      <c r="D155" s="157"/>
      <c r="E155" s="157"/>
      <c r="F155" s="157"/>
      <c r="G155" s="157"/>
      <c r="H155" s="157"/>
      <c r="I155" s="157"/>
      <c r="J155" s="157"/>
      <c r="K155" s="130">
        <v>18241.092787291091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</row>
    <row r="156" spans="1:37" ht="15">
      <c r="A156" s="129" t="s">
        <v>199</v>
      </c>
      <c r="B156" s="192"/>
      <c r="C156" s="157"/>
      <c r="D156" s="157"/>
      <c r="E156" s="157"/>
      <c r="F156" s="157"/>
      <c r="G156" s="157"/>
      <c r="H156" s="157"/>
      <c r="I156" s="157"/>
      <c r="J156" s="157"/>
      <c r="K156" s="192">
        <v>1291</v>
      </c>
      <c r="L156" s="157"/>
      <c r="M156" s="157"/>
      <c r="N156" s="157"/>
      <c r="O156" s="157"/>
      <c r="P156" s="157"/>
      <c r="Q156" s="157"/>
      <c r="R156" s="157"/>
      <c r="S156" s="157"/>
      <c r="T156" s="164" t="s">
        <v>210</v>
      </c>
      <c r="U156" s="165">
        <v>176126</v>
      </c>
      <c r="V156" s="165">
        <v>171271</v>
      </c>
    </row>
    <row r="157" spans="1:37" ht="15">
      <c r="A157" s="129" t="s">
        <v>201</v>
      </c>
      <c r="B157" s="192"/>
      <c r="C157" s="157"/>
      <c r="D157" s="157"/>
      <c r="E157" s="157"/>
      <c r="F157" s="157"/>
      <c r="G157" s="157"/>
      <c r="H157" s="157"/>
      <c r="I157" s="157"/>
      <c r="J157" s="157"/>
      <c r="K157" s="192">
        <v>687.81372388884904</v>
      </c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</row>
    <row r="158" spans="1:37" ht="15">
      <c r="A158" s="129" t="s">
        <v>16</v>
      </c>
      <c r="B158" s="130"/>
      <c r="C158" s="157"/>
      <c r="D158" s="157"/>
      <c r="E158" s="157"/>
      <c r="F158" s="157"/>
      <c r="G158" s="157"/>
      <c r="H158" s="157"/>
      <c r="I158" s="157"/>
      <c r="J158" s="157"/>
      <c r="K158" s="130">
        <v>0</v>
      </c>
      <c r="L158" s="157"/>
      <c r="M158" s="157"/>
      <c r="N158" s="157"/>
      <c r="O158" s="157"/>
      <c r="P158" s="157"/>
      <c r="Q158" s="157"/>
      <c r="R158" s="157"/>
      <c r="S158" s="157"/>
      <c r="T158" s="164" t="s">
        <v>213</v>
      </c>
      <c r="U158" s="194">
        <v>22.249368367862555</v>
      </c>
      <c r="V158" s="194">
        <v>27.803733766233766</v>
      </c>
    </row>
    <row r="159" spans="1:37" ht="15">
      <c r="A159" s="131" t="s">
        <v>204</v>
      </c>
      <c r="B159" s="132"/>
      <c r="C159" s="157"/>
      <c r="D159" s="157"/>
      <c r="E159" s="157"/>
      <c r="F159" s="157"/>
      <c r="G159" s="157"/>
      <c r="H159" s="157"/>
      <c r="I159" s="157"/>
      <c r="J159" s="157"/>
      <c r="K159" s="132">
        <v>526.97406658271257</v>
      </c>
      <c r="L159" s="157"/>
      <c r="M159" s="157"/>
      <c r="N159" s="157"/>
      <c r="O159" s="157"/>
      <c r="P159" s="157"/>
      <c r="Q159" s="157"/>
      <c r="R159" s="157"/>
      <c r="S159" s="157"/>
      <c r="T159" s="164" t="s">
        <v>213</v>
      </c>
      <c r="U159" s="194">
        <v>3.5</v>
      </c>
      <c r="V159" s="194">
        <v>3.5</v>
      </c>
    </row>
    <row r="160" spans="1:37" ht="15">
      <c r="A160" s="131" t="s">
        <v>206</v>
      </c>
      <c r="B160" s="132"/>
      <c r="C160" s="157"/>
      <c r="D160" s="157"/>
      <c r="E160" s="157"/>
      <c r="F160" s="157"/>
      <c r="G160" s="157"/>
      <c r="H160" s="157"/>
      <c r="I160" s="157"/>
      <c r="J160" s="157"/>
      <c r="K160" s="132">
        <v>0</v>
      </c>
      <c r="L160" s="157"/>
      <c r="M160" s="157"/>
      <c r="N160" s="157"/>
      <c r="O160" s="157"/>
      <c r="P160" s="157"/>
      <c r="Q160" s="157"/>
      <c r="R160" s="157"/>
      <c r="S160" s="157"/>
      <c r="T160" s="164" t="s">
        <v>216</v>
      </c>
      <c r="U160" s="194">
        <v>-18.749368367862555</v>
      </c>
      <c r="V160" s="194">
        <v>-24.303733766233766</v>
      </c>
    </row>
    <row r="161" spans="1:22" ht="15">
      <c r="A161" s="131" t="s">
        <v>208</v>
      </c>
      <c r="B161" s="132"/>
      <c r="C161" s="157"/>
      <c r="D161" s="157"/>
      <c r="E161" s="157"/>
      <c r="F161" s="157"/>
      <c r="G161" s="157"/>
      <c r="H161" s="157"/>
      <c r="I161" s="157"/>
      <c r="J161" s="157"/>
      <c r="K161" s="132">
        <v>0</v>
      </c>
      <c r="L161" s="157"/>
      <c r="M161" s="157"/>
      <c r="N161" s="157"/>
      <c r="O161" s="157"/>
      <c r="P161" s="157"/>
      <c r="Q161" s="157"/>
      <c r="R161" s="157"/>
      <c r="S161" s="157"/>
      <c r="T161" s="164" t="s">
        <v>218</v>
      </c>
      <c r="U161" s="165">
        <v>42405.714285714283</v>
      </c>
      <c r="V161" s="165">
        <v>42774.571428571428</v>
      </c>
    </row>
    <row r="162" spans="1:22" ht="15">
      <c r="A162" s="133" t="s">
        <v>209</v>
      </c>
      <c r="B162" s="132"/>
      <c r="C162" s="157"/>
      <c r="D162" s="157"/>
      <c r="E162" s="157"/>
      <c r="F162" s="157"/>
      <c r="G162" s="157"/>
      <c r="H162" s="157"/>
      <c r="I162" s="157"/>
      <c r="J162" s="157"/>
      <c r="K162" s="132">
        <v>2775.6015012699886</v>
      </c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</row>
    <row r="163" spans="1:22" ht="15">
      <c r="A163" s="134" t="s">
        <v>211</v>
      </c>
      <c r="B163" s="130"/>
      <c r="C163" s="157"/>
      <c r="D163" s="157"/>
      <c r="E163" s="157"/>
      <c r="F163" s="157"/>
      <c r="G163" s="157"/>
      <c r="H163" s="157"/>
      <c r="I163" s="157"/>
      <c r="J163" s="157"/>
      <c r="K163" s="130">
        <v>2665.8305620537099</v>
      </c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ht="15">
      <c r="A164" s="134" t="s">
        <v>212</v>
      </c>
      <c r="B164" s="130"/>
      <c r="C164" s="157"/>
      <c r="D164" s="157"/>
      <c r="E164" s="157"/>
      <c r="F164" s="157"/>
      <c r="G164" s="157"/>
      <c r="H164" s="157"/>
      <c r="I164" s="157"/>
      <c r="J164" s="157"/>
      <c r="K164" s="130">
        <v>185.44597201318413</v>
      </c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ht="15">
      <c r="A165" s="131" t="s">
        <v>214</v>
      </c>
      <c r="B165" s="130"/>
      <c r="C165" s="157"/>
      <c r="D165" s="157"/>
      <c r="E165" s="157"/>
      <c r="F165" s="157"/>
      <c r="G165" s="157"/>
      <c r="H165" s="157"/>
      <c r="I165" s="157"/>
      <c r="J165" s="157"/>
      <c r="K165" s="130">
        <v>75.6750327969051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ht="15">
      <c r="A166" s="131" t="s">
        <v>215</v>
      </c>
      <c r="B166" s="132"/>
      <c r="C166" s="157"/>
      <c r="D166" s="157"/>
      <c r="E166" s="157"/>
      <c r="F166" s="157"/>
      <c r="G166" s="157"/>
      <c r="H166" s="157"/>
      <c r="I166" s="157"/>
      <c r="J166" s="157"/>
      <c r="K166" s="132">
        <v>0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ht="15">
      <c r="A167" s="136" t="s">
        <v>217</v>
      </c>
      <c r="B167" s="137"/>
      <c r="C167" s="157"/>
      <c r="D167" s="157"/>
      <c r="E167" s="157"/>
      <c r="F167" s="157"/>
      <c r="G167" s="157"/>
      <c r="H167" s="157"/>
      <c r="I167" s="157"/>
      <c r="J167" s="157"/>
      <c r="K167" s="137">
        <v>16917.330943327237</v>
      </c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5">
      <c r="A168" s="138" t="s">
        <v>219</v>
      </c>
      <c r="B168" s="130"/>
      <c r="C168" s="157"/>
      <c r="D168" s="157"/>
      <c r="E168" s="157"/>
      <c r="F168" s="157"/>
      <c r="G168" s="157"/>
      <c r="H168" s="157"/>
      <c r="I168" s="157"/>
      <c r="J168" s="157"/>
      <c r="K168" s="130">
        <v>6660.0517582020475</v>
      </c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ht="15">
      <c r="A169" s="129" t="s">
        <v>220</v>
      </c>
      <c r="B169" s="132"/>
      <c r="C169" s="157"/>
      <c r="D169" s="157"/>
      <c r="E169" s="157"/>
      <c r="F169" s="157"/>
      <c r="G169" s="157"/>
      <c r="H169" s="157"/>
      <c r="I169" s="157"/>
      <c r="J169" s="157"/>
      <c r="K169" s="132">
        <v>5486.9068051513486</v>
      </c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ht="15">
      <c r="A170" s="129" t="s">
        <v>201</v>
      </c>
      <c r="B170" s="132"/>
      <c r="C170" s="157"/>
      <c r="D170" s="157"/>
      <c r="E170" s="157"/>
      <c r="F170" s="157"/>
      <c r="G170" s="157"/>
      <c r="H170" s="157"/>
      <c r="I170" s="157"/>
      <c r="J170" s="157"/>
      <c r="K170" s="132">
        <v>1173.1449530506991</v>
      </c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</row>
    <row r="171" spans="1:22" ht="15">
      <c r="A171" s="129" t="s">
        <v>221</v>
      </c>
      <c r="B171" s="132"/>
      <c r="C171" s="157"/>
      <c r="D171" s="157"/>
      <c r="E171" s="157"/>
      <c r="F171" s="157"/>
      <c r="G171" s="157"/>
      <c r="H171" s="157"/>
      <c r="I171" s="157"/>
      <c r="J171" s="157"/>
      <c r="K171" s="132">
        <v>0</v>
      </c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ht="15">
      <c r="A172" s="136" t="s">
        <v>2</v>
      </c>
      <c r="B172" s="137"/>
      <c r="C172" s="157"/>
      <c r="D172" s="157"/>
      <c r="E172" s="157"/>
      <c r="F172" s="157"/>
      <c r="G172" s="157"/>
      <c r="H172" s="157"/>
      <c r="I172" s="157"/>
      <c r="J172" s="157"/>
      <c r="K172" s="137">
        <v>10257.27918512519</v>
      </c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2" ht="15">
      <c r="A173" s="139" t="s">
        <v>4</v>
      </c>
      <c r="B173" s="140"/>
      <c r="C173" s="157"/>
      <c r="D173" s="157"/>
      <c r="E173" s="157"/>
      <c r="F173" s="157"/>
      <c r="G173" s="157"/>
      <c r="H173" s="157"/>
      <c r="I173" s="157"/>
      <c r="J173" s="157"/>
      <c r="K173" s="140">
        <v>0.59568235249464341</v>
      </c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ht="15">
      <c r="A174" s="139"/>
      <c r="B174" s="141"/>
      <c r="C174" s="157"/>
      <c r="D174" s="157"/>
      <c r="E174" s="157"/>
      <c r="F174" s="157"/>
      <c r="G174" s="157"/>
      <c r="H174" s="157"/>
      <c r="I174" s="157"/>
      <c r="J174" s="157"/>
      <c r="K174" s="141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</row>
    <row r="175" spans="1:22" ht="15">
      <c r="A175" s="142" t="s">
        <v>51</v>
      </c>
      <c r="B175" s="130"/>
      <c r="C175" s="157"/>
      <c r="D175" s="157"/>
      <c r="E175" s="157"/>
      <c r="F175" s="157"/>
      <c r="G175" s="157"/>
      <c r="H175" s="157"/>
      <c r="I175" s="157"/>
      <c r="J175" s="157"/>
      <c r="K175" s="130">
        <v>10552.775973267757</v>
      </c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</row>
    <row r="176" spans="1:22" ht="15">
      <c r="A176" s="143" t="s">
        <v>222</v>
      </c>
      <c r="B176" s="144"/>
      <c r="C176" s="157"/>
      <c r="D176" s="157"/>
      <c r="E176" s="157"/>
      <c r="F176" s="157"/>
      <c r="G176" s="157"/>
      <c r="H176" s="157"/>
      <c r="I176" s="157"/>
      <c r="J176" s="157"/>
      <c r="K176" s="144">
        <v>5708.2018461197977</v>
      </c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</row>
    <row r="177" spans="1:17" ht="15">
      <c r="A177" s="143" t="s">
        <v>223</v>
      </c>
      <c r="B177" s="130"/>
      <c r="C177" s="157"/>
      <c r="D177" s="157"/>
      <c r="E177" s="157"/>
      <c r="F177" s="157"/>
      <c r="G177" s="157"/>
      <c r="H177" s="157"/>
      <c r="I177" s="157"/>
      <c r="J177" s="157"/>
      <c r="K177" s="130">
        <v>4844.5741271479592</v>
      </c>
      <c r="Q177" s="112"/>
    </row>
    <row r="178" spans="1:17" ht="15">
      <c r="A178" s="142" t="s">
        <v>224</v>
      </c>
      <c r="B178" s="130"/>
      <c r="C178" s="157"/>
      <c r="D178" s="157"/>
      <c r="E178" s="157"/>
      <c r="F178" s="157"/>
      <c r="G178" s="157"/>
      <c r="H178" s="157"/>
      <c r="I178" s="157"/>
      <c r="J178" s="157"/>
      <c r="K178" s="130">
        <v>2530.7577717723161</v>
      </c>
      <c r="Q178" s="112"/>
    </row>
    <row r="179" spans="1:17" ht="15">
      <c r="A179" s="128" t="s">
        <v>224</v>
      </c>
      <c r="B179" s="130"/>
      <c r="C179" s="157"/>
      <c r="D179" s="157"/>
      <c r="E179" s="157"/>
      <c r="F179" s="157"/>
      <c r="G179" s="157"/>
      <c r="H179" s="157"/>
      <c r="I179" s="157"/>
      <c r="J179" s="157"/>
      <c r="K179" s="130">
        <v>1973.1285357426675</v>
      </c>
      <c r="Q179" s="112"/>
    </row>
    <row r="180" spans="1:17" ht="15">
      <c r="A180" s="128" t="s">
        <v>3</v>
      </c>
      <c r="B180" s="145"/>
      <c r="C180" s="157"/>
      <c r="D180" s="157"/>
      <c r="E180" s="157"/>
      <c r="F180" s="157"/>
      <c r="G180" s="157"/>
      <c r="H180" s="157"/>
      <c r="I180" s="157"/>
      <c r="J180" s="157"/>
      <c r="K180" s="145">
        <v>201.02146102964883</v>
      </c>
      <c r="Q180" s="112"/>
    </row>
    <row r="181" spans="1:17" ht="15">
      <c r="A181" s="128" t="s">
        <v>225</v>
      </c>
      <c r="B181" s="146"/>
      <c r="C181" s="157"/>
      <c r="D181" s="157"/>
      <c r="E181" s="157"/>
      <c r="F181" s="157"/>
      <c r="G181" s="157"/>
      <c r="H181" s="157"/>
      <c r="I181" s="157"/>
      <c r="J181" s="157"/>
      <c r="K181" s="146">
        <v>356.607775</v>
      </c>
      <c r="Q181" s="112"/>
    </row>
    <row r="182" spans="1:17" ht="15">
      <c r="A182" s="142" t="s">
        <v>226</v>
      </c>
      <c r="B182" s="130"/>
      <c r="C182" s="157"/>
      <c r="D182" s="157"/>
      <c r="E182" s="157"/>
      <c r="F182" s="157"/>
      <c r="G182" s="157"/>
      <c r="H182" s="157"/>
      <c r="I182" s="157"/>
      <c r="J182" s="157"/>
      <c r="K182" s="130">
        <v>-218.33333333333334</v>
      </c>
      <c r="Q182" s="112"/>
    </row>
    <row r="183" spans="1:17" ht="15">
      <c r="A183" s="128" t="s">
        <v>227</v>
      </c>
      <c r="B183" s="146"/>
      <c r="C183" s="157"/>
      <c r="D183" s="157"/>
      <c r="E183" s="157"/>
      <c r="F183" s="157"/>
      <c r="G183" s="157"/>
      <c r="H183" s="157"/>
      <c r="I183" s="157"/>
      <c r="J183" s="157"/>
      <c r="K183" s="146">
        <v>40</v>
      </c>
      <c r="Q183" s="112"/>
    </row>
    <row r="184" spans="1:17" ht="15">
      <c r="A184" s="128" t="s">
        <v>228</v>
      </c>
      <c r="B184" s="145"/>
      <c r="C184" s="157"/>
      <c r="D184" s="157"/>
      <c r="E184" s="157"/>
      <c r="F184" s="157"/>
      <c r="G184" s="157"/>
      <c r="H184" s="157"/>
      <c r="I184" s="157"/>
      <c r="J184" s="157"/>
      <c r="K184" s="145">
        <v>250</v>
      </c>
      <c r="Q184" s="112"/>
    </row>
    <row r="185" spans="1:17" ht="15">
      <c r="A185" s="143" t="s">
        <v>229</v>
      </c>
      <c r="B185" s="132"/>
      <c r="C185" s="157"/>
      <c r="D185" s="157"/>
      <c r="E185" s="157"/>
      <c r="F185" s="157"/>
      <c r="G185" s="157"/>
      <c r="H185" s="157"/>
      <c r="I185" s="157"/>
      <c r="J185" s="157"/>
      <c r="K185" s="132">
        <v>-8.3333333333333339</v>
      </c>
      <c r="Q185" s="112"/>
    </row>
    <row r="186" spans="1:17" ht="15">
      <c r="A186" s="128" t="s">
        <v>230</v>
      </c>
      <c r="B186" s="147"/>
      <c r="C186" s="157"/>
      <c r="D186" s="157"/>
      <c r="E186" s="157"/>
      <c r="F186" s="157"/>
      <c r="G186" s="157"/>
      <c r="H186" s="157"/>
      <c r="I186" s="157"/>
      <c r="J186" s="157"/>
      <c r="K186" s="147">
        <v>0</v>
      </c>
      <c r="Q186" s="112"/>
    </row>
    <row r="187" spans="1:17" ht="15">
      <c r="A187" s="142" t="s">
        <v>231</v>
      </c>
      <c r="B187" s="130"/>
      <c r="C187" s="157"/>
      <c r="D187" s="157"/>
      <c r="E187" s="157"/>
      <c r="F187" s="157"/>
      <c r="G187" s="157"/>
      <c r="H187" s="157"/>
      <c r="I187" s="157"/>
      <c r="J187" s="157"/>
      <c r="K187" s="130">
        <v>-1667.3769621482606</v>
      </c>
      <c r="Q187" s="112"/>
    </row>
    <row r="188" spans="1:17" ht="15">
      <c r="A188" s="128" t="s">
        <v>232</v>
      </c>
      <c r="B188" s="145"/>
      <c r="C188" s="157"/>
      <c r="D188" s="157"/>
      <c r="E188" s="157"/>
      <c r="F188" s="157"/>
      <c r="G188" s="157"/>
      <c r="H188" s="157"/>
      <c r="I188" s="157"/>
      <c r="J188" s="157"/>
      <c r="K188" s="145">
        <v>140.84719683872652</v>
      </c>
      <c r="Q188" s="112"/>
    </row>
    <row r="189" spans="1:17" ht="15">
      <c r="A189" s="128" t="s">
        <v>233</v>
      </c>
      <c r="B189" s="145"/>
      <c r="C189" s="157"/>
      <c r="D189" s="157"/>
      <c r="E189" s="157"/>
      <c r="F189" s="157"/>
      <c r="G189" s="157"/>
      <c r="H189" s="157"/>
      <c r="I189" s="157"/>
      <c r="J189" s="157"/>
      <c r="K189" s="145">
        <v>-666.72890933849135</v>
      </c>
      <c r="Q189" s="112"/>
    </row>
    <row r="190" spans="1:17" ht="15">
      <c r="A190" s="143" t="s">
        <v>234</v>
      </c>
      <c r="B190" s="145"/>
      <c r="C190" s="157"/>
      <c r="D190" s="157"/>
      <c r="E190" s="157"/>
      <c r="F190" s="157"/>
      <c r="G190" s="157"/>
      <c r="H190" s="157"/>
      <c r="I190" s="157"/>
      <c r="J190" s="157"/>
      <c r="K190" s="145">
        <v>-1141.4952496484957</v>
      </c>
      <c r="Q190" s="112"/>
    </row>
    <row r="191" spans="1:17" ht="15">
      <c r="A191" s="142" t="s">
        <v>235</v>
      </c>
      <c r="B191" s="132"/>
      <c r="C191" s="157"/>
      <c r="D191" s="157"/>
      <c r="E191" s="157"/>
      <c r="F191" s="157"/>
      <c r="G191" s="157"/>
      <c r="H191" s="157"/>
      <c r="I191" s="157"/>
      <c r="J191" s="157"/>
      <c r="K191" s="132">
        <v>-796.97317125585778</v>
      </c>
      <c r="Q191" s="112"/>
    </row>
    <row r="192" spans="1:17" ht="15">
      <c r="A192" s="142" t="s">
        <v>236</v>
      </c>
      <c r="B192" s="132"/>
      <c r="C192" s="157"/>
      <c r="D192" s="157"/>
      <c r="E192" s="157"/>
      <c r="F192" s="157"/>
      <c r="G192" s="157"/>
      <c r="H192" s="157"/>
      <c r="I192" s="157"/>
      <c r="J192" s="157"/>
      <c r="K192" s="132">
        <v>-2348.0360527856596</v>
      </c>
      <c r="Q192" s="112"/>
    </row>
    <row r="193" spans="1:17" ht="15">
      <c r="A193" s="142" t="s">
        <v>237</v>
      </c>
      <c r="B193" s="148"/>
      <c r="C193" s="157"/>
      <c r="D193" s="157"/>
      <c r="E193" s="157"/>
      <c r="F193" s="157"/>
      <c r="G193" s="157"/>
      <c r="H193" s="157"/>
      <c r="I193" s="157"/>
      <c r="J193" s="157"/>
      <c r="K193" s="148">
        <v>692.39995327335271</v>
      </c>
      <c r="Q193" s="112"/>
    </row>
    <row r="194" spans="1:17" ht="15">
      <c r="A194" s="149" t="s">
        <v>238</v>
      </c>
      <c r="B194" s="137"/>
      <c r="C194" s="157"/>
      <c r="D194" s="157"/>
      <c r="E194" s="157"/>
      <c r="F194" s="157"/>
      <c r="G194" s="157"/>
      <c r="H194" s="157"/>
      <c r="I194" s="157"/>
      <c r="J194" s="157"/>
      <c r="K194" s="137">
        <v>1075.3983396682083</v>
      </c>
      <c r="Q194" s="112"/>
    </row>
    <row r="195" spans="1:17" ht="15">
      <c r="A195" s="150" t="s">
        <v>7</v>
      </c>
      <c r="B195" s="151"/>
      <c r="C195" s="157"/>
      <c r="D195" s="157"/>
      <c r="E195" s="157"/>
      <c r="F195" s="157"/>
      <c r="G195" s="157"/>
      <c r="H195" s="157"/>
      <c r="I195" s="157"/>
      <c r="J195" s="157"/>
      <c r="K195" s="151">
        <v>6.3567849046092084E-2</v>
      </c>
      <c r="Q195" s="112"/>
    </row>
    <row r="196" spans="1:17" ht="15.75" thickBot="1">
      <c r="A196" s="150"/>
      <c r="B196" s="141"/>
      <c r="C196" s="157"/>
      <c r="D196" s="157"/>
      <c r="E196" s="157"/>
      <c r="F196" s="157"/>
      <c r="G196" s="157"/>
      <c r="H196" s="157"/>
      <c r="I196" s="157"/>
      <c r="J196" s="157"/>
      <c r="K196" s="141"/>
      <c r="Q196" s="112"/>
    </row>
    <row r="197" spans="1:17" ht="15">
      <c r="A197" s="152" t="s">
        <v>239</v>
      </c>
      <c r="B197" s="153"/>
      <c r="C197" s="157"/>
      <c r="D197" s="157"/>
      <c r="E197" s="157"/>
      <c r="F197" s="157"/>
      <c r="G197" s="157"/>
      <c r="H197" s="157"/>
      <c r="I197" s="157"/>
      <c r="J197" s="157"/>
      <c r="K197" s="153"/>
      <c r="Q197" s="112"/>
    </row>
    <row r="198" spans="1:17" ht="15">
      <c r="A198" s="143" t="s">
        <v>240</v>
      </c>
      <c r="B198" s="132"/>
      <c r="C198" s="157"/>
      <c r="D198" s="157"/>
      <c r="E198" s="157"/>
      <c r="F198" s="157"/>
      <c r="G198" s="157"/>
      <c r="H198" s="157"/>
      <c r="I198" s="157"/>
      <c r="J198" s="157"/>
      <c r="K198" s="132">
        <v>927.06666666666672</v>
      </c>
      <c r="Q198" s="112"/>
    </row>
    <row r="199" spans="1:17" ht="15">
      <c r="A199" s="143" t="s">
        <v>241</v>
      </c>
      <c r="B199" s="132"/>
      <c r="C199" s="157"/>
      <c r="D199" s="157"/>
      <c r="E199" s="157"/>
      <c r="F199" s="157"/>
      <c r="G199" s="157"/>
      <c r="H199" s="157"/>
      <c r="I199" s="157"/>
      <c r="J199" s="157"/>
      <c r="K199" s="132">
        <v>0</v>
      </c>
      <c r="Q199" s="112"/>
    </row>
    <row r="200" spans="1:17" ht="15">
      <c r="A200" s="143" t="s">
        <v>242</v>
      </c>
      <c r="B200" s="154"/>
      <c r="C200" s="157"/>
      <c r="D200" s="157"/>
      <c r="E200" s="157"/>
      <c r="F200" s="157"/>
      <c r="G200" s="157"/>
      <c r="H200" s="157"/>
      <c r="I200" s="157"/>
      <c r="J200" s="157"/>
      <c r="K200" s="154">
        <v>0</v>
      </c>
      <c r="Q200" s="112"/>
    </row>
    <row r="201" spans="1:17" ht="15">
      <c r="A201" s="149" t="s">
        <v>243</v>
      </c>
      <c r="B201" s="137"/>
      <c r="C201" s="157"/>
      <c r="D201" s="157"/>
      <c r="E201" s="157"/>
      <c r="F201" s="157"/>
      <c r="G201" s="157"/>
      <c r="H201" s="157"/>
      <c r="I201" s="157"/>
      <c r="J201" s="157"/>
      <c r="K201" s="137">
        <v>2002.4650063348749</v>
      </c>
      <c r="Q201" s="112"/>
    </row>
    <row r="202" spans="1:17" ht="15">
      <c r="A202" s="155" t="s">
        <v>6</v>
      </c>
      <c r="B202" s="151"/>
      <c r="C202" s="157"/>
      <c r="D202" s="157"/>
      <c r="E202" s="157"/>
      <c r="F202" s="157"/>
      <c r="G202" s="157"/>
      <c r="H202" s="157"/>
      <c r="I202" s="157"/>
      <c r="J202" s="157"/>
      <c r="K202" s="151">
        <v>0.11836766763286111</v>
      </c>
      <c r="Q202" s="112"/>
    </row>
    <row r="203" spans="1:17" ht="15">
      <c r="A203" s="156"/>
      <c r="B203" s="141"/>
      <c r="C203" s="157"/>
      <c r="D203" s="157"/>
      <c r="E203" s="157"/>
      <c r="F203" s="157"/>
      <c r="G203" s="157"/>
      <c r="H203" s="157"/>
      <c r="I203" s="157"/>
      <c r="J203" s="157"/>
      <c r="K203" s="141"/>
      <c r="Q203" s="112"/>
    </row>
    <row r="204" spans="1:17" ht="15">
      <c r="A204" s="143" t="s">
        <v>244</v>
      </c>
      <c r="B204" s="132"/>
      <c r="C204" s="157"/>
      <c r="D204" s="157"/>
      <c r="E204" s="157"/>
      <c r="F204" s="157"/>
      <c r="G204" s="157"/>
      <c r="H204" s="157"/>
      <c r="I204" s="157"/>
      <c r="J204" s="157"/>
      <c r="K204" s="132">
        <v>496.91821947521396</v>
      </c>
      <c r="Q204" s="112"/>
    </row>
    <row r="205" spans="1:17" ht="15">
      <c r="A205" s="143" t="s">
        <v>245</v>
      </c>
      <c r="B205" s="132"/>
      <c r="C205" s="157"/>
      <c r="D205" s="157"/>
      <c r="E205" s="157"/>
      <c r="F205" s="157"/>
      <c r="G205" s="157"/>
      <c r="H205" s="157"/>
      <c r="I205" s="157"/>
      <c r="J205" s="157"/>
      <c r="K205" s="132"/>
      <c r="Q205" s="112"/>
    </row>
    <row r="206" spans="1:17" ht="15">
      <c r="A206" s="143" t="s">
        <v>246</v>
      </c>
      <c r="B206" s="132"/>
      <c r="C206" s="157"/>
      <c r="D206" s="157"/>
      <c r="E206" s="157"/>
      <c r="F206" s="157"/>
      <c r="G206" s="157"/>
      <c r="H206" s="157"/>
      <c r="I206" s="157"/>
      <c r="J206" s="157"/>
      <c r="K206" s="132">
        <v>-1667.3769621482606</v>
      </c>
      <c r="Q206" s="112"/>
    </row>
    <row r="207" spans="1:17" ht="15">
      <c r="A207" s="143" t="s">
        <v>247</v>
      </c>
      <c r="B207" s="132"/>
      <c r="C207" s="157"/>
      <c r="D207" s="157"/>
      <c r="E207" s="157"/>
      <c r="F207" s="157"/>
      <c r="G207" s="157"/>
      <c r="H207" s="157"/>
      <c r="I207" s="157"/>
      <c r="J207" s="157"/>
      <c r="K207" s="132">
        <v>-796.97317125585778</v>
      </c>
    </row>
    <row r="208" spans="1:17" ht="15">
      <c r="A208" s="143" t="s">
        <v>248</v>
      </c>
      <c r="B208" s="132"/>
      <c r="C208" s="157"/>
      <c r="D208" s="157"/>
      <c r="E208" s="157"/>
      <c r="F208" s="157"/>
      <c r="G208" s="157"/>
      <c r="H208" s="157"/>
      <c r="I208" s="157"/>
      <c r="J208" s="157"/>
      <c r="K208" s="132">
        <v>-2348.0360527856596</v>
      </c>
    </row>
    <row r="209" spans="1:22" ht="15">
      <c r="A209" s="143" t="s">
        <v>249</v>
      </c>
      <c r="B209" s="132"/>
      <c r="C209" s="157"/>
      <c r="D209" s="157"/>
      <c r="E209" s="157"/>
      <c r="F209" s="157"/>
      <c r="G209" s="157"/>
      <c r="H209" s="157"/>
      <c r="I209" s="157"/>
      <c r="J209" s="157"/>
      <c r="K209" s="132">
        <v>-234.66671339331401</v>
      </c>
    </row>
    <row r="210" spans="1:22" ht="15">
      <c r="A210" s="149" t="s">
        <v>250</v>
      </c>
      <c r="B210" s="137"/>
      <c r="C210" s="157"/>
      <c r="D210" s="157"/>
      <c r="E210" s="157"/>
      <c r="F210" s="157"/>
      <c r="G210" s="157"/>
      <c r="H210" s="157"/>
      <c r="I210" s="157"/>
      <c r="J210" s="157"/>
      <c r="K210" s="137">
        <v>-2547.669673773004</v>
      </c>
    </row>
    <row r="211" spans="1:22" ht="15">
      <c r="A211" s="155" t="s">
        <v>5</v>
      </c>
      <c r="B211" s="151"/>
      <c r="C211" s="157"/>
      <c r="D211" s="157"/>
      <c r="E211" s="157"/>
      <c r="F211" s="157"/>
      <c r="G211" s="157"/>
      <c r="H211" s="157"/>
      <c r="I211" s="157"/>
      <c r="J211" s="157"/>
      <c r="K211" s="151">
        <v>-0.15059524946976877</v>
      </c>
      <c r="T211" s="114"/>
    </row>
    <row r="212" spans="1:22" ht="15">
      <c r="A212" s="156"/>
      <c r="B212" s="141"/>
      <c r="C212" s="157"/>
      <c r="D212" s="157"/>
      <c r="E212" s="157"/>
      <c r="F212" s="157"/>
      <c r="G212" s="157"/>
      <c r="H212" s="157"/>
      <c r="I212" s="157"/>
      <c r="J212" s="157"/>
      <c r="K212" s="141"/>
      <c r="T212" s="114"/>
      <c r="U212" s="114"/>
      <c r="V212" s="114"/>
    </row>
    <row r="213" spans="1:22" ht="15">
      <c r="A213" s="143" t="s">
        <v>251</v>
      </c>
      <c r="B213" s="132"/>
      <c r="C213" s="157"/>
      <c r="D213" s="157"/>
      <c r="E213" s="157"/>
      <c r="F213" s="157"/>
      <c r="G213" s="157"/>
      <c r="H213" s="157"/>
      <c r="I213" s="157"/>
      <c r="J213" s="157"/>
      <c r="K213" s="132">
        <v>1141.4952496484957</v>
      </c>
      <c r="T213" s="114"/>
      <c r="U213" s="111"/>
      <c r="V213" s="111"/>
    </row>
    <row r="214" spans="1:22" ht="15">
      <c r="A214" s="143" t="s">
        <v>252</v>
      </c>
      <c r="B214" s="132"/>
      <c r="C214" s="157"/>
      <c r="D214" s="157"/>
      <c r="E214" s="157"/>
      <c r="F214" s="157"/>
      <c r="G214" s="157"/>
      <c r="H214" s="157"/>
      <c r="I214" s="157"/>
      <c r="J214" s="157"/>
      <c r="K214" s="132">
        <v>-690.19621586268818</v>
      </c>
      <c r="T214" s="114"/>
      <c r="U214" s="111"/>
      <c r="V214" s="111"/>
    </row>
    <row r="215" spans="1:22" ht="15">
      <c r="A215" s="149" t="s">
        <v>253</v>
      </c>
      <c r="B215" s="137"/>
      <c r="C215" s="157"/>
      <c r="D215" s="157"/>
      <c r="E215" s="157"/>
      <c r="F215" s="157"/>
      <c r="G215" s="157"/>
      <c r="H215" s="157"/>
      <c r="I215" s="157"/>
      <c r="J215" s="157"/>
      <c r="K215" s="137">
        <v>-2096.3706399871962</v>
      </c>
      <c r="T215" s="114"/>
      <c r="U215" s="111"/>
      <c r="V215" s="111"/>
    </row>
    <row r="216" spans="1:22" ht="15">
      <c r="A216" s="155" t="s">
        <v>254</v>
      </c>
      <c r="B216" s="151"/>
      <c r="C216" s="157"/>
      <c r="D216" s="157"/>
      <c r="E216" s="157"/>
      <c r="F216" s="157"/>
      <c r="G216" s="157"/>
      <c r="H216" s="157"/>
      <c r="I216" s="157"/>
      <c r="J216" s="157"/>
      <c r="K216" s="151">
        <v>-0.12391852160426495</v>
      </c>
      <c r="T216" s="114"/>
      <c r="U216" s="111"/>
      <c r="V216" s="111"/>
    </row>
    <row r="217" spans="1:22" ht="15">
      <c r="A217" s="131" t="s">
        <v>206</v>
      </c>
      <c r="B217" s="132"/>
      <c r="K217" s="132">
        <v>0</v>
      </c>
      <c r="T217" s="114" t="s">
        <v>207</v>
      </c>
      <c r="U217" s="111">
        <f>U213-U214+U215+U216</f>
        <v>0</v>
      </c>
      <c r="V217" s="111">
        <f>V213-V214+V215+V216</f>
        <v>0</v>
      </c>
    </row>
    <row r="218" spans="1:22" ht="15">
      <c r="A218" s="131" t="s">
        <v>208</v>
      </c>
      <c r="B218" s="132"/>
      <c r="K218" s="132">
        <v>0</v>
      </c>
    </row>
    <row r="219" spans="1:22" ht="15">
      <c r="A219" s="133" t="s">
        <v>209</v>
      </c>
      <c r="B219" s="132"/>
      <c r="K219" s="132">
        <f>SUM(K220:K221,K223)-K222</f>
        <v>2775.6015012699886</v>
      </c>
      <c r="T219" s="114" t="s">
        <v>210</v>
      </c>
      <c r="U219" s="112">
        <f>(C53+C65+J53)-C9</f>
        <v>176126</v>
      </c>
      <c r="V219" s="112">
        <f>(L53+L65)-L9</f>
        <v>171271</v>
      </c>
    </row>
    <row r="220" spans="1:22" ht="15">
      <c r="A220" s="134" t="s">
        <v>211</v>
      </c>
      <c r="B220" s="130"/>
      <c r="K220" s="130">
        <v>2665.8305620537099</v>
      </c>
    </row>
    <row r="221" spans="1:22" ht="15">
      <c r="A221" s="134" t="s">
        <v>212</v>
      </c>
      <c r="B221" s="130"/>
      <c r="K221" s="130">
        <v>185.44597201318413</v>
      </c>
      <c r="T221" s="114" t="s">
        <v>213</v>
      </c>
      <c r="U221" s="135" t="e">
        <f>U219/U217</f>
        <v>#DIV/0!</v>
      </c>
      <c r="V221" s="135" t="e">
        <f>V219/V217</f>
        <v>#DIV/0!</v>
      </c>
    </row>
    <row r="222" spans="1:22" ht="15">
      <c r="A222" s="131" t="s">
        <v>214</v>
      </c>
      <c r="B222" s="130"/>
      <c r="K222" s="130">
        <v>75.6750327969051</v>
      </c>
      <c r="T222" s="114" t="s">
        <v>213</v>
      </c>
      <c r="U222" s="135">
        <v>3.5</v>
      </c>
      <c r="V222" s="135">
        <v>3.5</v>
      </c>
    </row>
    <row r="223" spans="1:22" ht="15">
      <c r="A223" s="131" t="s">
        <v>215</v>
      </c>
      <c r="B223" s="132"/>
      <c r="K223" s="132">
        <v>0</v>
      </c>
      <c r="T223" s="114" t="s">
        <v>216</v>
      </c>
      <c r="U223" s="135" t="e">
        <f>U222-U221</f>
        <v>#DIV/0!</v>
      </c>
      <c r="V223" s="135" t="e">
        <f>V222-V221</f>
        <v>#DIV/0!</v>
      </c>
    </row>
    <row r="224" spans="1:22" ht="15">
      <c r="A224" s="136" t="s">
        <v>217</v>
      </c>
      <c r="B224" s="137"/>
      <c r="K224" s="137">
        <f>K211-K219</f>
        <v>-2775.7520965194585</v>
      </c>
      <c r="T224" s="114" t="s">
        <v>218</v>
      </c>
      <c r="U224" s="112">
        <f>U219/U222-U217</f>
        <v>50321.714285714283</v>
      </c>
      <c r="V224" s="112">
        <f>V219/V222-V217</f>
        <v>48934.571428571428</v>
      </c>
    </row>
    <row r="225" spans="1:11" ht="15">
      <c r="A225" s="138" t="s">
        <v>219</v>
      </c>
      <c r="B225" s="130"/>
      <c r="K225" s="130">
        <f>SUM(K226:K228)</f>
        <v>6660.0517582020475</v>
      </c>
    </row>
    <row r="226" spans="1:11" ht="15">
      <c r="A226" s="129" t="s">
        <v>220</v>
      </c>
      <c r="B226" s="132"/>
      <c r="K226" s="132">
        <v>5486.9068051513486</v>
      </c>
    </row>
    <row r="227" spans="1:11" ht="15">
      <c r="A227" s="129" t="s">
        <v>201</v>
      </c>
      <c r="B227" s="132"/>
      <c r="K227" s="132">
        <v>1173.1449530506991</v>
      </c>
    </row>
    <row r="228" spans="1:11" ht="15">
      <c r="A228" s="129" t="s">
        <v>221</v>
      </c>
      <c r="B228" s="132"/>
      <c r="K228" s="132">
        <v>0</v>
      </c>
    </row>
    <row r="229" spans="1:11" ht="15">
      <c r="A229" s="136" t="s">
        <v>2</v>
      </c>
      <c r="B229" s="137"/>
      <c r="K229" s="137">
        <f>K224-K225</f>
        <v>-9435.8038547215056</v>
      </c>
    </row>
    <row r="230" spans="1:11" ht="15">
      <c r="A230" s="139" t="s">
        <v>4</v>
      </c>
      <c r="B230" s="140"/>
      <c r="K230" s="140">
        <v>0.59568235249464341</v>
      </c>
    </row>
    <row r="231" spans="1:11" ht="15">
      <c r="A231" s="139"/>
      <c r="B231" s="141"/>
      <c r="K231" s="141"/>
    </row>
    <row r="232" spans="1:11" ht="15">
      <c r="A232" s="142" t="s">
        <v>51</v>
      </c>
      <c r="B232" s="130"/>
      <c r="K232" s="130">
        <f>K233+K234</f>
        <v>10552.775973267757</v>
      </c>
    </row>
    <row r="233" spans="1:11" ht="15">
      <c r="A233" s="143" t="s">
        <v>222</v>
      </c>
      <c r="B233" s="144"/>
      <c r="K233" s="144">
        <v>5708.2018461197977</v>
      </c>
    </row>
    <row r="234" spans="1:11" ht="15">
      <c r="A234" s="143" t="s">
        <v>223</v>
      </c>
      <c r="B234" s="130"/>
      <c r="K234" s="130">
        <v>4844.5741271479592</v>
      </c>
    </row>
    <row r="235" spans="1:11" ht="15">
      <c r="A235" s="142" t="s">
        <v>224</v>
      </c>
      <c r="B235" s="130"/>
      <c r="K235" s="130">
        <f>SUM(K236:K238)</f>
        <v>2530.7577717723161</v>
      </c>
    </row>
    <row r="236" spans="1:11" ht="15">
      <c r="A236" s="128" t="s">
        <v>224</v>
      </c>
      <c r="B236" s="130"/>
      <c r="K236" s="130">
        <v>1973.1285357426675</v>
      </c>
    </row>
    <row r="237" spans="1:11" ht="15">
      <c r="A237" s="128" t="s">
        <v>3</v>
      </c>
      <c r="B237" s="145"/>
      <c r="K237" s="145">
        <v>201.02146102964883</v>
      </c>
    </row>
    <row r="238" spans="1:11" ht="15">
      <c r="A238" s="128" t="s">
        <v>225</v>
      </c>
      <c r="B238" s="146"/>
      <c r="K238" s="146">
        <v>356.607775</v>
      </c>
    </row>
    <row r="239" spans="1:11" ht="15">
      <c r="A239" s="142" t="s">
        <v>226</v>
      </c>
      <c r="B239" s="130"/>
      <c r="K239" s="130">
        <f>K240-K241+K242-K243</f>
        <v>-218.33333333333334</v>
      </c>
    </row>
    <row r="240" spans="1:11" ht="15">
      <c r="A240" s="128" t="s">
        <v>227</v>
      </c>
      <c r="B240" s="146"/>
      <c r="K240" s="146">
        <v>40</v>
      </c>
    </row>
    <row r="241" spans="1:11" ht="15">
      <c r="A241" s="128" t="s">
        <v>228</v>
      </c>
      <c r="B241" s="145"/>
      <c r="K241" s="145">
        <v>250</v>
      </c>
    </row>
    <row r="242" spans="1:11" ht="15">
      <c r="A242" s="143" t="s">
        <v>229</v>
      </c>
      <c r="B242" s="132"/>
      <c r="K242" s="132">
        <v>-8.3333333333333339</v>
      </c>
    </row>
    <row r="243" spans="1:11" ht="15">
      <c r="A243" s="128" t="s">
        <v>230</v>
      </c>
      <c r="B243" s="147"/>
      <c r="K243" s="147">
        <v>0</v>
      </c>
    </row>
    <row r="244" spans="1:11" ht="15">
      <c r="A244" s="142" t="s">
        <v>231</v>
      </c>
      <c r="B244" s="130"/>
      <c r="K244" s="130">
        <f>SUM(K245:K247)</f>
        <v>-1667.3769621482606</v>
      </c>
    </row>
    <row r="245" spans="1:11" ht="15">
      <c r="A245" s="128" t="s">
        <v>232</v>
      </c>
      <c r="B245" s="145"/>
      <c r="K245" s="145">
        <v>140.84719683872652</v>
      </c>
    </row>
    <row r="246" spans="1:11" ht="15">
      <c r="A246" s="128" t="s">
        <v>233</v>
      </c>
      <c r="B246" s="145"/>
      <c r="K246" s="145">
        <v>-666.72890933849135</v>
      </c>
    </row>
    <row r="247" spans="1:11" ht="15">
      <c r="A247" s="143" t="s">
        <v>234</v>
      </c>
      <c r="B247" s="145"/>
      <c r="K247" s="145">
        <v>-1141.4952496484957</v>
      </c>
    </row>
    <row r="248" spans="1:11" ht="15">
      <c r="A248" s="142" t="s">
        <v>235</v>
      </c>
      <c r="B248" s="132"/>
      <c r="K248" s="132">
        <v>-796.97317125585778</v>
      </c>
    </row>
    <row r="249" spans="1:11" ht="15">
      <c r="A249" s="142" t="s">
        <v>236</v>
      </c>
      <c r="B249" s="132"/>
      <c r="K249" s="132">
        <v>-2348.0360527856596</v>
      </c>
    </row>
    <row r="250" spans="1:11" ht="15">
      <c r="A250" s="142" t="s">
        <v>237</v>
      </c>
      <c r="B250" s="148"/>
      <c r="K250" s="148">
        <v>692.39995327335271</v>
      </c>
    </row>
    <row r="251" spans="1:11" ht="15">
      <c r="A251" s="149" t="s">
        <v>238</v>
      </c>
      <c r="B251" s="137"/>
      <c r="K251" s="137">
        <f>K229-K232-K235+K239-K244-K248-K249-K250</f>
        <v>-18617.684700178488</v>
      </c>
    </row>
    <row r="252" spans="1:11" ht="15">
      <c r="A252" s="150" t="s">
        <v>7</v>
      </c>
      <c r="B252" s="151"/>
      <c r="K252" s="151">
        <f>K251/K224</f>
        <v>6.7072577279229568</v>
      </c>
    </row>
    <row r="253" spans="1:11" ht="15.75" thickBot="1">
      <c r="A253" s="150"/>
      <c r="B253" s="141"/>
      <c r="K253" s="141"/>
    </row>
    <row r="254" spans="1:11" ht="15">
      <c r="A254" s="152" t="s">
        <v>239</v>
      </c>
      <c r="B254" s="153"/>
      <c r="K254" s="153"/>
    </row>
    <row r="255" spans="1:11" ht="15">
      <c r="A255" s="143" t="s">
        <v>240</v>
      </c>
      <c r="B255" s="132"/>
      <c r="K255" s="132">
        <v>927.06666666666672</v>
      </c>
    </row>
    <row r="256" spans="1:11" ht="15">
      <c r="A256" s="143" t="s">
        <v>241</v>
      </c>
      <c r="B256" s="132"/>
      <c r="K256" s="132">
        <v>0</v>
      </c>
    </row>
    <row r="257" spans="1:11" ht="15">
      <c r="A257" s="143" t="s">
        <v>242</v>
      </c>
      <c r="B257" s="154"/>
      <c r="K257" s="154">
        <v>0</v>
      </c>
    </row>
    <row r="258" spans="1:11" ht="15">
      <c r="A258" s="149" t="s">
        <v>243</v>
      </c>
      <c r="B258" s="137"/>
      <c r="K258" s="137">
        <f>K251+SUM(K255:K257)</f>
        <v>-17690.618033511822</v>
      </c>
    </row>
    <row r="259" spans="1:11" ht="15">
      <c r="A259" s="155" t="s">
        <v>6</v>
      </c>
      <c r="B259" s="151"/>
      <c r="K259" s="151">
        <f>K258/K224</f>
        <v>6.3732701690811124</v>
      </c>
    </row>
    <row r="260" spans="1:11" ht="15">
      <c r="A260" s="156"/>
      <c r="B260" s="141"/>
      <c r="K260" s="141"/>
    </row>
    <row r="261" spans="1:11" ht="15">
      <c r="A261" s="143" t="s">
        <v>244</v>
      </c>
      <c r="B261" s="132"/>
      <c r="K261" s="132">
        <v>496.91821947521396</v>
      </c>
    </row>
    <row r="262" spans="1:11" ht="15">
      <c r="A262" s="143" t="s">
        <v>245</v>
      </c>
      <c r="B262" s="132"/>
      <c r="K262" s="132"/>
    </row>
    <row r="263" spans="1:11" ht="15">
      <c r="A263" s="143" t="s">
        <v>246</v>
      </c>
      <c r="B263" s="132"/>
      <c r="K263" s="132">
        <f>K244</f>
        <v>-1667.3769621482606</v>
      </c>
    </row>
    <row r="264" spans="1:11" ht="15">
      <c r="A264" s="143" t="s">
        <v>247</v>
      </c>
      <c r="B264" s="132"/>
      <c r="K264" s="132">
        <f>K248</f>
        <v>-796.97317125585778</v>
      </c>
    </row>
    <row r="265" spans="1:11" ht="15">
      <c r="A265" s="143" t="s">
        <v>248</v>
      </c>
      <c r="B265" s="132"/>
      <c r="K265" s="132">
        <f>K249</f>
        <v>-2348.0360527856596</v>
      </c>
    </row>
    <row r="266" spans="1:11" ht="15">
      <c r="A266" s="143" t="s">
        <v>249</v>
      </c>
      <c r="B266" s="132"/>
      <c r="K266" s="132">
        <f>K250-K255</f>
        <v>-234.66671339331401</v>
      </c>
    </row>
    <row r="267" spans="1:11" ht="15">
      <c r="A267" s="149" t="s">
        <v>250</v>
      </c>
      <c r="B267" s="137"/>
      <c r="K267" s="137">
        <f>K258+SUM(K261:K266)</f>
        <v>-22240.752713619702</v>
      </c>
    </row>
    <row r="268" spans="1:11" ht="15">
      <c r="A268" s="155" t="s">
        <v>5</v>
      </c>
      <c r="B268" s="151"/>
      <c r="K268" s="151">
        <f>K267/K224</f>
        <v>8.0125140647493662</v>
      </c>
    </row>
    <row r="269" spans="1:11" ht="15">
      <c r="A269" s="156"/>
      <c r="B269" s="141"/>
      <c r="K269" s="141"/>
    </row>
    <row r="270" spans="1:11" ht="15">
      <c r="A270" s="143" t="s">
        <v>251</v>
      </c>
      <c r="B270" s="132"/>
      <c r="K270" s="132">
        <f>-K247</f>
        <v>1141.4952496484957</v>
      </c>
    </row>
    <row r="271" spans="1:11" ht="15">
      <c r="A271" s="143" t="s">
        <v>252</v>
      </c>
      <c r="B271" s="132"/>
      <c r="K271" s="132">
        <f>K216+K218-K222+K247</f>
        <v>-1217.2942009670051</v>
      </c>
    </row>
    <row r="272" spans="1:11" ht="15">
      <c r="A272" s="149" t="s">
        <v>253</v>
      </c>
      <c r="B272" s="137"/>
      <c r="K272" s="137">
        <f>K267+SUM(K270:K271)</f>
        <v>-22316.551664938212</v>
      </c>
    </row>
    <row r="273" spans="1:11" ht="15">
      <c r="A273" s="155" t="s">
        <v>254</v>
      </c>
      <c r="B273" s="151"/>
      <c r="K273" s="151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5" outlineLevelCol="1"/>
  <cols>
    <col min="1" max="1" width="6.85546875" style="4" customWidth="1"/>
    <col min="2" max="2" width="33.5703125" style="4" customWidth="1"/>
    <col min="3" max="3" width="11.42578125" style="4" hidden="1" customWidth="1" outlineLevel="1"/>
    <col min="4" max="4" width="10.85546875" style="4" hidden="1" customWidth="1" outlineLevel="1"/>
    <col min="5" max="5" width="11.85546875" style="4" hidden="1" customWidth="1" outlineLevel="1"/>
    <col min="6" max="6" width="11" style="4" hidden="1" customWidth="1" outlineLevel="1"/>
    <col min="7" max="7" width="11.140625" style="4" hidden="1" customWidth="1" outlineLevel="1"/>
    <col min="8" max="8" width="11.42578125" style="4" hidden="1" customWidth="1" outlineLevel="1"/>
    <col min="9" max="10" width="11.140625" style="4" hidden="1" customWidth="1" outlineLevel="1"/>
    <col min="11" max="11" width="11.5703125" style="4" hidden="1" customWidth="1" outlineLevel="1"/>
    <col min="12" max="14" width="11.140625" style="4" hidden="1" customWidth="1" outlineLevel="1"/>
    <col min="15" max="15" width="9.5703125" style="32" customWidth="1" collapsed="1"/>
    <col min="16" max="16" width="10.140625" style="32" customWidth="1"/>
    <col min="17" max="17" width="10.85546875" style="67" customWidth="1"/>
    <col min="18" max="18" width="13" style="67" customWidth="1"/>
    <col min="19" max="19" width="8.85546875" customWidth="1"/>
    <col min="20" max="20" width="9.140625" customWidth="1"/>
    <col min="21" max="21" width="11" style="67" customWidth="1"/>
    <col min="22" max="22" width="10.5703125" style="68" customWidth="1"/>
    <col min="23" max="23" width="8.85546875" hidden="1" customWidth="1"/>
    <col min="24" max="24" width="9.140625" hidden="1" customWidth="1"/>
    <col min="25" max="25" width="11" style="67" hidden="1" customWidth="1"/>
    <col min="26" max="26" width="10.5703125" style="68" hidden="1" customWidth="1"/>
    <col min="27" max="27" width="8.85546875" hidden="1" customWidth="1"/>
    <col min="28" max="28" width="9.140625" hidden="1" customWidth="1"/>
    <col min="29" max="29" width="11" style="67" hidden="1" customWidth="1"/>
    <col min="30" max="30" width="10.5703125" style="68" hidden="1" customWidth="1"/>
    <col min="31" max="31" width="9.5703125" style="68" customWidth="1"/>
    <col min="32" max="32" width="11" style="68" bestFit="1" customWidth="1"/>
    <col min="33" max="33" width="12.85546875" style="67" bestFit="1" customWidth="1"/>
    <col min="34" max="34" width="10.5703125" style="68" customWidth="1"/>
    <col min="38" max="38" width="11.42578125" bestFit="1" customWidth="1"/>
  </cols>
  <sheetData>
    <row r="1" spans="1:38" ht="91.5" customHeight="1" thickBot="1"/>
    <row r="2" spans="1:38" ht="15.75" customHeight="1" thickBot="1">
      <c r="A2" s="411" t="s">
        <v>417</v>
      </c>
      <c r="B2" s="412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  <c r="N2" s="365">
        <v>2022</v>
      </c>
      <c r="O2" s="1" t="s">
        <v>408</v>
      </c>
      <c r="P2" s="1" t="s">
        <v>413</v>
      </c>
      <c r="Q2" s="88" t="s">
        <v>0</v>
      </c>
      <c r="R2" s="89" t="s">
        <v>1</v>
      </c>
      <c r="S2" s="1" t="s">
        <v>409</v>
      </c>
      <c r="T2" s="1" t="s">
        <v>414</v>
      </c>
      <c r="U2" s="88" t="s">
        <v>0</v>
      </c>
      <c r="V2" s="89" t="s">
        <v>1</v>
      </c>
      <c r="W2" s="1" t="s">
        <v>410</v>
      </c>
      <c r="X2" s="1"/>
      <c r="Y2" s="88" t="s">
        <v>0</v>
      </c>
      <c r="Z2" s="89" t="s">
        <v>1</v>
      </c>
      <c r="AA2" s="1" t="s">
        <v>412</v>
      </c>
      <c r="AB2" s="1"/>
      <c r="AC2" s="88" t="s">
        <v>0</v>
      </c>
      <c r="AD2" s="89" t="s">
        <v>1</v>
      </c>
      <c r="AE2" s="1">
        <v>2022</v>
      </c>
      <c r="AF2" s="5">
        <v>2023</v>
      </c>
      <c r="AG2" s="88" t="s">
        <v>0</v>
      </c>
      <c r="AH2" s="89" t="s">
        <v>1</v>
      </c>
    </row>
    <row r="3" spans="1:38" ht="15.75" customHeight="1">
      <c r="A3" s="413" t="s">
        <v>418</v>
      </c>
      <c r="B3" s="414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  <c r="N3" s="389">
        <v>400492.21608000016</v>
      </c>
      <c r="O3" s="23">
        <v>70734.397280000034</v>
      </c>
      <c r="P3" s="24">
        <v>75275.733330000003</v>
      </c>
      <c r="Q3" s="57">
        <f>IFERROR(P3/O3-1,0)</f>
        <v>6.420265421960436E-2</v>
      </c>
      <c r="R3" s="58">
        <f>P3-O3</f>
        <v>4541.336049999969</v>
      </c>
      <c r="S3" s="24">
        <v>107858.03738000002</v>
      </c>
      <c r="T3" s="24">
        <v>100387</v>
      </c>
      <c r="U3" s="57">
        <v>0.27218838296158498</v>
      </c>
      <c r="V3" s="94">
        <v>23076.538959999976</v>
      </c>
      <c r="W3" s="24">
        <v>94839.117989999999</v>
      </c>
      <c r="X3" s="24"/>
      <c r="Y3" s="57">
        <f>X3/W3-1</f>
        <v>-1</v>
      </c>
      <c r="Z3" s="94">
        <f>X3-W3</f>
        <v>-94839.117989999999</v>
      </c>
      <c r="AA3" s="24">
        <v>127060.66343000009</v>
      </c>
      <c r="AB3" s="24"/>
      <c r="AC3" s="57">
        <f>AB3/AA3-1</f>
        <v>-1</v>
      </c>
      <c r="AD3" s="94">
        <f>AB3-AA3</f>
        <v>-127060.66343000009</v>
      </c>
      <c r="AE3" s="24">
        <f>O3+S3</f>
        <v>178592.43466000006</v>
      </c>
      <c r="AF3" s="24">
        <f>P3+T3</f>
        <v>175662.73333000002</v>
      </c>
      <c r="AG3" s="57">
        <f>IFERROR(AF3/AE3-1,0)</f>
        <v>-1.6404397731502596E-2</v>
      </c>
      <c r="AH3" s="94">
        <f>AF3-AE3</f>
        <v>-2929.7013300000399</v>
      </c>
    </row>
    <row r="4" spans="1:38" ht="15.75" customHeight="1">
      <c r="A4" s="415"/>
      <c r="B4" s="415" t="s">
        <v>419</v>
      </c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  <c r="N4" s="24">
        <v>-14678.83246</v>
      </c>
      <c r="O4" s="24">
        <v>-2169.4997399999997</v>
      </c>
      <c r="P4" s="24">
        <v>-3113</v>
      </c>
      <c r="Q4" s="59">
        <f t="shared" ref="Q4:Q6" si="0">IFERROR(P4/O4-1,0)</f>
        <v>0.43489300441216017</v>
      </c>
      <c r="R4" s="60">
        <f>P4-O4</f>
        <v>-943.50026000000025</v>
      </c>
      <c r="S4" s="24">
        <v>-3552.4103099999998</v>
      </c>
      <c r="T4" s="24">
        <v>-4009.3755599999995</v>
      </c>
      <c r="U4" s="59">
        <v>2.3096455886127134</v>
      </c>
      <c r="V4" s="93">
        <v>-2479.0596399999999</v>
      </c>
      <c r="W4" s="24">
        <v>-3457.82728</v>
      </c>
      <c r="X4" s="24"/>
      <c r="Y4" s="59">
        <f>X4/W4-1</f>
        <v>-1</v>
      </c>
      <c r="Z4" s="93">
        <f>X4-W4</f>
        <v>3457.82728</v>
      </c>
      <c r="AA4" s="24">
        <v>-5499.0951299999997</v>
      </c>
      <c r="AB4" s="24"/>
      <c r="AC4" s="59">
        <f>AB4/AA4-1</f>
        <v>-1</v>
      </c>
      <c r="AD4" s="93">
        <f>AB4-AA4</f>
        <v>5499.0951299999997</v>
      </c>
      <c r="AE4" s="24">
        <f t="shared" ref="AE4:AE6" si="1">O4+S4</f>
        <v>-5721.9100499999995</v>
      </c>
      <c r="AF4" s="24">
        <f t="shared" ref="AF4:AF6" si="2">P4+T4</f>
        <v>-7122.3755599999995</v>
      </c>
      <c r="AG4" s="59">
        <f t="shared" ref="AG4:AG6" si="3">IFERROR(AF4/AE4-1,0)</f>
        <v>0.24475489788589044</v>
      </c>
      <c r="AH4" s="93">
        <f>AF4-AE4</f>
        <v>-1400.46551</v>
      </c>
    </row>
    <row r="5" spans="1:38" ht="15.75" customHeight="1">
      <c r="A5" s="416" t="s">
        <v>420</v>
      </c>
      <c r="B5" s="415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  <c r="N5" s="368">
        <v>-35852.520007156549</v>
      </c>
      <c r="O5" s="24">
        <v>-6482.835916</v>
      </c>
      <c r="P5" s="24">
        <v>-8909.9371858164122</v>
      </c>
      <c r="Q5" s="59">
        <f t="shared" si="0"/>
        <v>0.37438881706479576</v>
      </c>
      <c r="R5" s="93">
        <f>P5-O5</f>
        <v>-2427.1012698164122</v>
      </c>
      <c r="S5" s="24">
        <v>-9446.9566699999978</v>
      </c>
      <c r="T5" s="24">
        <v>-9373</v>
      </c>
      <c r="U5" s="64">
        <v>0.29896871118862811</v>
      </c>
      <c r="V5" s="93">
        <v>-2174.2975299999962</v>
      </c>
      <c r="W5" s="24">
        <v>-8524.9213400000099</v>
      </c>
      <c r="X5" s="24"/>
      <c r="Y5" s="64">
        <f>X5/W5-1</f>
        <v>-1</v>
      </c>
      <c r="Z5" s="93">
        <f>X5-W5</f>
        <v>8524.9213400000099</v>
      </c>
      <c r="AA5" s="24">
        <v>-11397.806081156545</v>
      </c>
      <c r="AB5" s="24"/>
      <c r="AC5" s="64">
        <f>AB5/AA5-1</f>
        <v>-1</v>
      </c>
      <c r="AD5" s="93">
        <f>AB5-AA5</f>
        <v>11397.806081156545</v>
      </c>
      <c r="AE5" s="24">
        <f t="shared" si="1"/>
        <v>-15929.792585999998</v>
      </c>
      <c r="AF5" s="24">
        <f t="shared" si="2"/>
        <v>-18282.937185816412</v>
      </c>
      <c r="AG5" s="64">
        <f t="shared" si="3"/>
        <v>0.1477197262370189</v>
      </c>
      <c r="AH5" s="93">
        <f>AF5-AE5</f>
        <v>-2353.1445998164145</v>
      </c>
    </row>
    <row r="6" spans="1:38" ht="15.75" customHeight="1">
      <c r="A6" s="415"/>
      <c r="B6" s="415" t="s">
        <v>421</v>
      </c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  <c r="N6" s="24">
        <v>1270.7352007543432</v>
      </c>
      <c r="O6" s="25">
        <v>190</v>
      </c>
      <c r="P6" s="24">
        <v>266</v>
      </c>
      <c r="Q6" s="59">
        <f t="shared" si="0"/>
        <v>0.39999999999999991</v>
      </c>
      <c r="R6" s="93">
        <f>P6-O6</f>
        <v>76</v>
      </c>
      <c r="S6" s="24">
        <v>301.44054945053989</v>
      </c>
      <c r="T6" s="24">
        <v>350.99583284799991</v>
      </c>
      <c r="U6" s="59">
        <v>2.3466169540512727</v>
      </c>
      <c r="V6" s="93">
        <v>211.36733414407087</v>
      </c>
      <c r="W6" s="24">
        <v>298.93975966939763</v>
      </c>
      <c r="X6" s="24"/>
      <c r="Y6" s="59">
        <f>X6/W6-1</f>
        <v>-1</v>
      </c>
      <c r="Z6" s="93">
        <f>X6-W6</f>
        <v>-298.93975966939763</v>
      </c>
      <c r="AA6" s="24">
        <v>480.35489163440582</v>
      </c>
      <c r="AB6" s="24"/>
      <c r="AC6" s="59">
        <f>AB6/AA6-1</f>
        <v>-1</v>
      </c>
      <c r="AD6" s="93">
        <f>AB6-AA6</f>
        <v>-480.35489163440582</v>
      </c>
      <c r="AE6" s="24">
        <f t="shared" si="1"/>
        <v>491.44054945053989</v>
      </c>
      <c r="AF6" s="24">
        <f t="shared" si="2"/>
        <v>616.99583284799996</v>
      </c>
      <c r="AG6" s="59">
        <f t="shared" si="3"/>
        <v>0.25548417512115851</v>
      </c>
      <c r="AH6" s="93">
        <f>AF6-AE6</f>
        <v>125.55528339746007</v>
      </c>
    </row>
    <row r="7" spans="1:38" ht="15.75" customHeight="1">
      <c r="A7" s="416"/>
      <c r="B7" s="415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  <c r="N7" s="27"/>
      <c r="O7" s="25"/>
      <c r="P7" s="27"/>
      <c r="Q7" s="61"/>
      <c r="R7" s="60"/>
      <c r="S7" s="7"/>
      <c r="T7" s="24"/>
      <c r="U7" s="61"/>
      <c r="V7" s="60"/>
      <c r="W7" s="7"/>
      <c r="X7" s="24"/>
      <c r="Y7" s="61"/>
      <c r="Z7" s="60"/>
      <c r="AA7" s="7"/>
      <c r="AB7" s="24"/>
      <c r="AC7" s="61"/>
      <c r="AD7" s="60"/>
      <c r="AE7" s="25"/>
      <c r="AF7" s="25"/>
      <c r="AG7" s="61"/>
      <c r="AH7" s="60"/>
    </row>
    <row r="8" spans="1:38" ht="15.75" customHeight="1">
      <c r="A8" s="417" t="s">
        <v>422</v>
      </c>
      <c r="B8" s="418"/>
      <c r="C8" s="374">
        <f>SUM(C3:C6)</f>
        <v>262030</v>
      </c>
      <c r="D8" s="374">
        <f t="shared" ref="D8:L8" si="4">SUM(D3:D6)</f>
        <v>312715.13757291244</v>
      </c>
      <c r="E8" s="374">
        <f t="shared" si="4"/>
        <v>433695.82074142544</v>
      </c>
      <c r="F8" s="374">
        <f t="shared" si="4"/>
        <v>413433</v>
      </c>
      <c r="G8" s="374">
        <f t="shared" si="4"/>
        <v>397293</v>
      </c>
      <c r="H8" s="374">
        <f t="shared" si="4"/>
        <v>360872.97414030397</v>
      </c>
      <c r="I8" s="374">
        <f t="shared" si="4"/>
        <v>340076</v>
      </c>
      <c r="J8" s="374">
        <f t="shared" si="4"/>
        <v>305696.17570524517</v>
      </c>
      <c r="K8" s="374">
        <f t="shared" si="4"/>
        <v>316226.27587170707</v>
      </c>
      <c r="L8" s="374">
        <f t="shared" si="4"/>
        <v>244607.38250886771</v>
      </c>
      <c r="M8" s="374">
        <v>314401.67791416938</v>
      </c>
      <c r="N8" s="374">
        <v>351231.17873447796</v>
      </c>
      <c r="O8" s="8">
        <f>SUM(O3:O6)</f>
        <v>62272.061624000038</v>
      </c>
      <c r="P8" s="8">
        <v>63518.796144183594</v>
      </c>
      <c r="Q8" s="62">
        <f>IFERROR(P8/O8-1,0)</f>
        <v>2.0020768345704765E-2</v>
      </c>
      <c r="R8" s="63">
        <f>P8-O8</f>
        <v>1246.734520183556</v>
      </c>
      <c r="S8" s="8">
        <v>95159</v>
      </c>
      <c r="T8" s="8">
        <f>SUM(T3:T6)</f>
        <v>87355.620272847998</v>
      </c>
      <c r="U8" s="62">
        <f>IFERROR(T8/S8-1,0)</f>
        <v>-8.2003591117519092E-2</v>
      </c>
      <c r="V8" s="92">
        <f>T8-S8</f>
        <v>-7803.3797271520016</v>
      </c>
      <c r="W8" s="8">
        <v>83156</v>
      </c>
      <c r="X8" s="8"/>
      <c r="Y8" s="62">
        <f>IFERROR(X8/W8-1,0)</f>
        <v>-1</v>
      </c>
      <c r="Z8" s="92">
        <f>X8-W8</f>
        <v>-83156</v>
      </c>
      <c r="AA8" s="8">
        <v>110644.11711047794</v>
      </c>
      <c r="AB8" s="8"/>
      <c r="AC8" s="62">
        <f>IFERROR(AB8/AA8-1,0)</f>
        <v>-1</v>
      </c>
      <c r="AD8" s="92">
        <f>AB8-AA8</f>
        <v>-110644.11711047794</v>
      </c>
      <c r="AE8" s="8">
        <f>SUM(AE3:AE6)</f>
        <v>157432.1725734506</v>
      </c>
      <c r="AF8" s="8">
        <f>SUM(AF3:AF6)</f>
        <v>150874.41641703164</v>
      </c>
      <c r="AG8" s="62">
        <f>IFERROR(AF8/AE8-1,0)</f>
        <v>-4.165448554271467E-2</v>
      </c>
      <c r="AH8" s="92">
        <f>AF8-AE8</f>
        <v>-6557.7561564189673</v>
      </c>
    </row>
    <row r="9" spans="1:38" ht="15.75" customHeight="1">
      <c r="A9" s="416"/>
      <c r="B9" s="415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  <c r="N9" s="24">
        <v>-160681.56247817609</v>
      </c>
      <c r="O9" s="25">
        <v>-30323</v>
      </c>
      <c r="P9" s="24">
        <v>-29598</v>
      </c>
      <c r="Q9" s="59"/>
      <c r="R9" s="93"/>
      <c r="S9" s="346">
        <v>-43082</v>
      </c>
      <c r="T9" s="24">
        <f>AF9-P9</f>
        <v>-38024</v>
      </c>
      <c r="U9" s="61"/>
      <c r="V9" s="60"/>
      <c r="W9" s="346">
        <v>-37783</v>
      </c>
      <c r="X9" s="346"/>
      <c r="Y9" s="61"/>
      <c r="Z9" s="60"/>
      <c r="AA9" s="346">
        <v>-49493.5624781761</v>
      </c>
      <c r="AB9" s="346"/>
      <c r="AC9" s="61"/>
      <c r="AD9" s="60"/>
      <c r="AE9" s="24">
        <v>-73405</v>
      </c>
      <c r="AF9" s="24">
        <v>-67622</v>
      </c>
      <c r="AG9" s="61"/>
      <c r="AH9" s="60"/>
    </row>
    <row r="10" spans="1:38" ht="15.75" customHeight="1">
      <c r="A10" s="417" t="s">
        <v>423</v>
      </c>
      <c r="B10" s="418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2">
        <f>IFERROR(P10/O10-1,0)</f>
        <v>6.1714943098748032E-2</v>
      </c>
      <c r="R10" s="92">
        <f>P10-O10</f>
        <v>1971.734520183556</v>
      </c>
      <c r="S10" s="8">
        <f t="shared" ref="S10:T10" si="5">SUM(S8:S9)</f>
        <v>52077</v>
      </c>
      <c r="T10" s="8">
        <f t="shared" si="5"/>
        <v>49331.620272847998</v>
      </c>
      <c r="U10" s="62">
        <f>IFERROR(T10/S10-1,0)</f>
        <v>-5.2717701233788494E-2</v>
      </c>
      <c r="V10" s="92">
        <f>T10-S10</f>
        <v>-2745.3797271520016</v>
      </c>
      <c r="W10" s="8">
        <v>45373</v>
      </c>
      <c r="X10" s="8"/>
      <c r="Y10" s="62">
        <f>X10/W10-1</f>
        <v>-1</v>
      </c>
      <c r="Z10" s="92">
        <f>X10-W10</f>
        <v>-45373</v>
      </c>
      <c r="AA10" s="8">
        <v>61150.554632301835</v>
      </c>
      <c r="AB10" s="8"/>
      <c r="AC10" s="62">
        <f>AB10/AA10-1</f>
        <v>-1</v>
      </c>
      <c r="AD10" s="92">
        <f>AB10-AA10</f>
        <v>-61150.554632301835</v>
      </c>
      <c r="AE10" s="8">
        <f>SUM(AE8:AE9)</f>
        <v>84027.172573450604</v>
      </c>
      <c r="AF10" s="8">
        <f>SUM(AF8:AF9)</f>
        <v>83252.416417031636</v>
      </c>
      <c r="AG10" s="62">
        <f>IFERROR(AF10/AE10-1,0)</f>
        <v>-9.2203049643462265E-3</v>
      </c>
      <c r="AH10" s="92">
        <f>AF10-AE10</f>
        <v>-774.75615641896729</v>
      </c>
    </row>
    <row r="11" spans="1:38" ht="15.75" customHeight="1">
      <c r="A11" s="419"/>
      <c r="B11" s="419" t="s">
        <v>424</v>
      </c>
      <c r="C11" s="9">
        <f>C10/C8</f>
        <v>0.63414876159218414</v>
      </c>
      <c r="D11" s="9">
        <f t="shared" ref="D11:L11" si="6">D10/D8</f>
        <v>0.60095587779527571</v>
      </c>
      <c r="E11" s="9">
        <f t="shared" si="6"/>
        <v>0.57822553966807633</v>
      </c>
      <c r="F11" s="9">
        <f t="shared" si="6"/>
        <v>0.55583855183306607</v>
      </c>
      <c r="G11" s="9">
        <f t="shared" si="6"/>
        <v>0.52046726219691763</v>
      </c>
      <c r="H11" s="9">
        <f t="shared" si="6"/>
        <v>0.46991597124802392</v>
      </c>
      <c r="I11" s="9">
        <f t="shared" si="6"/>
        <v>0.4559951305002411</v>
      </c>
      <c r="J11" s="9">
        <f t="shared" si="6"/>
        <v>0.47975142432483103</v>
      </c>
      <c r="K11" s="9">
        <f t="shared" si="6"/>
        <v>0.3454583263166906</v>
      </c>
      <c r="L11" s="9">
        <f t="shared" si="6"/>
        <v>0.45950779918069407</v>
      </c>
      <c r="M11" s="9">
        <v>0.52536512848783778</v>
      </c>
      <c r="N11" s="9">
        <v>0.54251908085971101</v>
      </c>
      <c r="O11" s="9">
        <f t="shared" ref="O11:P11" si="7">O10/O8</f>
        <v>0.51305610880380215</v>
      </c>
      <c r="P11" s="9">
        <f t="shared" si="7"/>
        <v>0.53402769264054628</v>
      </c>
      <c r="Q11" s="9"/>
      <c r="R11" s="55">
        <f>(P11-O11)*100</f>
        <v>2.0971583836744134</v>
      </c>
      <c r="S11" s="9">
        <v>0.54726300192309718</v>
      </c>
      <c r="T11" s="9">
        <f>T10/T8</f>
        <v>0.56472176740048086</v>
      </c>
      <c r="U11" s="9"/>
      <c r="V11" s="55">
        <v>-0.69263168685073095</v>
      </c>
      <c r="W11" s="9">
        <v>0.54563711578238494</v>
      </c>
      <c r="X11" s="9"/>
      <c r="Y11" s="9"/>
      <c r="Z11" s="55">
        <f>(X11-W11)*100</f>
        <v>-54.563711578238497</v>
      </c>
      <c r="AA11" s="9">
        <v>0.5526778669239425</v>
      </c>
      <c r="AB11" s="9"/>
      <c r="AC11" s="9"/>
      <c r="AD11" s="55">
        <f>(AB11-AA11)*100</f>
        <v>-55.267786692394253</v>
      </c>
      <c r="AE11" s="9">
        <f>AE10/AE8</f>
        <v>0.5337357110678721</v>
      </c>
      <c r="AF11" s="9">
        <f>AF10/AF8</f>
        <v>0.55179942626531076</v>
      </c>
      <c r="AG11" s="9"/>
      <c r="AH11" s="55">
        <f>(AF11-AE11)*100</f>
        <v>1.8063715197438657</v>
      </c>
    </row>
    <row r="12" spans="1:38" ht="15.75" customHeight="1">
      <c r="A12" s="416"/>
      <c r="B12" s="419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  <c r="N12" s="376"/>
      <c r="O12" s="312"/>
      <c r="P12" s="312"/>
      <c r="Q12" s="59"/>
      <c r="R12" s="10"/>
      <c r="S12" s="312"/>
      <c r="T12" s="312"/>
      <c r="U12" s="61"/>
      <c r="V12" s="10"/>
      <c r="W12" s="312"/>
      <c r="X12" s="312"/>
      <c r="Y12" s="61"/>
      <c r="Z12" s="10"/>
      <c r="AA12" s="312"/>
      <c r="AB12" s="312"/>
      <c r="AC12" s="61"/>
      <c r="AD12" s="10"/>
      <c r="AE12" s="312"/>
      <c r="AF12" s="312"/>
      <c r="AG12" s="61"/>
      <c r="AH12" s="10"/>
    </row>
    <row r="13" spans="1:38" ht="15.75" customHeight="1">
      <c r="A13" s="417" t="s">
        <v>425</v>
      </c>
      <c r="B13" s="418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2">
        <f>IFERROR(P13/O13-1,0)</f>
        <v>0.12703110842645726</v>
      </c>
      <c r="R13" s="92">
        <f>P13-O13</f>
        <v>-2103</v>
      </c>
      <c r="S13" s="8">
        <f>-20840-342</f>
        <v>-21182</v>
      </c>
      <c r="T13" s="8">
        <f t="shared" ref="T13:T14" si="8">AF13-P13</f>
        <v>-23068</v>
      </c>
      <c r="U13" s="62">
        <f t="shared" ref="U13:U14" si="9">IFERROR(T13/S13-1,0)</f>
        <v>8.9037862335945572E-2</v>
      </c>
      <c r="V13" s="92">
        <v>-4865</v>
      </c>
      <c r="W13" s="8">
        <v>-22593</v>
      </c>
      <c r="X13" s="8"/>
      <c r="Y13" s="62">
        <f>X13/W13-1</f>
        <v>-1</v>
      </c>
      <c r="Z13" s="92">
        <f>X13-W13</f>
        <v>22593</v>
      </c>
      <c r="AA13" s="8">
        <v>-2055</v>
      </c>
      <c r="AB13" s="8"/>
      <c r="AC13" s="62">
        <f>AB13/AA13-1</f>
        <v>-1</v>
      </c>
      <c r="AD13" s="92">
        <f>AB13-AA13</f>
        <v>2055</v>
      </c>
      <c r="AE13" s="8">
        <v>-37737</v>
      </c>
      <c r="AF13" s="8">
        <v>-41726</v>
      </c>
      <c r="AG13" s="62">
        <f>IFERROR(AF13/AE13-1,0)</f>
        <v>0.10570527598908241</v>
      </c>
      <c r="AH13" s="92">
        <f>AF13-AE13</f>
        <v>-3989</v>
      </c>
      <c r="AI13" s="299"/>
      <c r="AJ13" s="299"/>
      <c r="AK13" s="392"/>
      <c r="AL13" s="391"/>
    </row>
    <row r="14" spans="1:38" ht="15.75" customHeight="1">
      <c r="A14" s="417" t="s">
        <v>426</v>
      </c>
      <c r="B14" s="418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2">
        <f>IFERROR(P14/O14-1,0)</f>
        <v>0</v>
      </c>
      <c r="R14" s="92"/>
      <c r="S14" s="8"/>
      <c r="T14" s="8">
        <f t="shared" si="8"/>
        <v>0</v>
      </c>
      <c r="U14" s="62">
        <f t="shared" si="9"/>
        <v>0</v>
      </c>
      <c r="V14" s="92">
        <v>-225</v>
      </c>
      <c r="W14" s="8">
        <v>501</v>
      </c>
      <c r="X14" s="8"/>
      <c r="Y14" s="62">
        <f>X14/W14-1</f>
        <v>-1</v>
      </c>
      <c r="Z14" s="92">
        <f>X14-W14</f>
        <v>-501</v>
      </c>
      <c r="AA14" s="8">
        <v>-48</v>
      </c>
      <c r="AB14" s="8"/>
      <c r="AC14" s="62">
        <f>AB14/AA14-1</f>
        <v>-1</v>
      </c>
      <c r="AD14" s="92">
        <f>AB14-AA14</f>
        <v>48</v>
      </c>
      <c r="AE14" s="8">
        <v>0</v>
      </c>
      <c r="AF14" s="8">
        <v>0</v>
      </c>
      <c r="AG14" s="62">
        <f>IFERROR(AF14/AE14-1,0)</f>
        <v>0</v>
      </c>
      <c r="AH14" s="92"/>
      <c r="AL14" s="364"/>
    </row>
    <row r="15" spans="1:38" ht="15.75" hidden="1" customHeight="1">
      <c r="A15" s="417" t="s">
        <v>427</v>
      </c>
      <c r="B15" s="418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2"/>
      <c r="R15" s="92"/>
      <c r="S15" s="8"/>
      <c r="T15" s="8"/>
      <c r="U15" s="62"/>
      <c r="V15" s="92"/>
      <c r="W15" s="8"/>
      <c r="X15" s="8"/>
      <c r="Y15" s="62"/>
      <c r="Z15" s="92"/>
      <c r="AA15" s="8"/>
      <c r="AB15" s="8"/>
      <c r="AC15" s="62"/>
      <c r="AD15" s="92"/>
      <c r="AE15" s="8">
        <f>0</f>
        <v>0</v>
      </c>
      <c r="AF15" s="8">
        <f>0</f>
        <v>0</v>
      </c>
      <c r="AG15" s="62"/>
      <c r="AH15" s="92"/>
      <c r="AL15" s="364"/>
    </row>
    <row r="16" spans="1:38">
      <c r="A16" s="420"/>
      <c r="B16" s="420" t="s">
        <v>428</v>
      </c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N16" s="378">
        <v>-0.23979932619726793</v>
      </c>
      <c r="O16" s="11">
        <f>SUM(O13:O15)/O8</f>
        <v>-0.26584955706074775</v>
      </c>
      <c r="P16" s="11">
        <f>SUM(P13:P15)/P8</f>
        <v>-0.29373982399867177</v>
      </c>
      <c r="Q16" s="11"/>
      <c r="R16" s="274">
        <f>(P16-O16)*100</f>
        <v>-2.7890266937924011</v>
      </c>
      <c r="S16" s="11">
        <v>-0.22259586586660221</v>
      </c>
      <c r="T16" s="11"/>
      <c r="U16" s="11"/>
      <c r="V16" s="274">
        <v>-1.231372604934633</v>
      </c>
      <c r="W16" s="11"/>
      <c r="X16" s="11"/>
      <c r="Y16" s="11"/>
      <c r="Z16" s="274">
        <f>(X16-W16)*100</f>
        <v>0</v>
      </c>
      <c r="AA16" s="11"/>
      <c r="AB16" s="11"/>
      <c r="AC16" s="11"/>
      <c r="AD16" s="274">
        <f>(AB16-AA16)*100</f>
        <v>0</v>
      </c>
      <c r="AE16" s="11">
        <f>SUM(AE13:AE15)/AE8</f>
        <v>-0.23970322827371041</v>
      </c>
      <c r="AF16" s="11">
        <f>SUM(AF13:AF15)/AF8</f>
        <v>-0.2765611360156997</v>
      </c>
      <c r="AG16" s="11"/>
      <c r="AH16" s="274">
        <f>(AF16-AE16)*100</f>
        <v>-3.6857907741989298</v>
      </c>
      <c r="AL16" s="364"/>
    </row>
    <row r="17" spans="1:38">
      <c r="A17" s="416"/>
      <c r="B17" s="415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N17" s="26"/>
      <c r="O17" s="26"/>
      <c r="P17" s="26"/>
      <c r="Q17" s="61"/>
      <c r="R17" s="60"/>
      <c r="S17" s="44"/>
      <c r="T17" s="24"/>
      <c r="U17" s="59"/>
      <c r="V17" s="60"/>
      <c r="W17" s="44"/>
      <c r="X17" s="24"/>
      <c r="Y17" s="59"/>
      <c r="Z17" s="60"/>
      <c r="AA17" s="44"/>
      <c r="AB17" s="24"/>
      <c r="AC17" s="59"/>
      <c r="AD17" s="60"/>
      <c r="AE17" s="25"/>
      <c r="AF17" s="25"/>
      <c r="AG17" s="59"/>
      <c r="AH17" s="60"/>
      <c r="AL17" s="364"/>
    </row>
    <row r="18" spans="1:38">
      <c r="A18" s="417" t="s">
        <v>429</v>
      </c>
      <c r="B18" s="418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2">
        <f>IFERROR(P18/O18-1,0)</f>
        <v>-2.9791914932624453E-2</v>
      </c>
      <c r="R18" s="92">
        <f>P18-O18</f>
        <v>325</v>
      </c>
      <c r="S18" s="8">
        <v>-9948</v>
      </c>
      <c r="T18" s="8">
        <f>AF18-P18</f>
        <v>-10264</v>
      </c>
      <c r="U18" s="62">
        <f>IFERROR(T18/S18-1,0)</f>
        <v>3.1765178930438287E-2</v>
      </c>
      <c r="V18" s="92">
        <f>T18-S18</f>
        <v>-316</v>
      </c>
      <c r="W18" s="8">
        <v>-8983</v>
      </c>
      <c r="X18" s="8"/>
      <c r="Y18" s="62">
        <f>X18/W18-1</f>
        <v>-1</v>
      </c>
      <c r="Z18" s="92">
        <f>X18-W18</f>
        <v>8983</v>
      </c>
      <c r="AA18" s="8">
        <v>215</v>
      </c>
      <c r="AB18" s="8"/>
      <c r="AC18" s="62">
        <f>AB18/AA18-1</f>
        <v>-1</v>
      </c>
      <c r="AD18" s="92">
        <f>AB18-AA18</f>
        <v>-215</v>
      </c>
      <c r="AE18" s="8">
        <v>-20857</v>
      </c>
      <c r="AF18" s="8">
        <v>-20848</v>
      </c>
      <c r="AG18" s="62">
        <f>IFERROR(AF18/AE18-1,0)</f>
        <v>-4.3150980486172941E-4</v>
      </c>
      <c r="AH18" s="92">
        <f>AF18-AE18</f>
        <v>9</v>
      </c>
      <c r="AI18" s="299"/>
      <c r="AJ18" s="299"/>
      <c r="AK18" s="299"/>
      <c r="AL18" s="104"/>
    </row>
    <row r="19" spans="1:38">
      <c r="A19" s="420"/>
      <c r="B19" s="420" t="s">
        <v>428</v>
      </c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  <c r="N19" s="11">
        <v>-0.109594484574787</v>
      </c>
      <c r="O19" s="11">
        <f t="shared" ref="O19:P19" si="10">O18/O8</f>
        <v>-0.1751828944715009</v>
      </c>
      <c r="P19" s="11">
        <f t="shared" si="10"/>
        <v>-0.16662784313441645</v>
      </c>
      <c r="Q19" s="11"/>
      <c r="R19" s="274">
        <f>(P19-O19)*100</f>
        <v>0.85550513370844516</v>
      </c>
      <c r="S19" s="11">
        <v>-0.10454082115196671</v>
      </c>
      <c r="T19" s="11"/>
      <c r="U19" s="11"/>
      <c r="V19" s="274">
        <v>0.66112967504430986</v>
      </c>
      <c r="W19" s="11"/>
      <c r="X19" s="11"/>
      <c r="Y19" s="11"/>
      <c r="Z19" s="274">
        <f>(X19-W19)*100</f>
        <v>0</v>
      </c>
      <c r="AA19" s="11">
        <v>1.9431670260907131E-3</v>
      </c>
      <c r="AB19" s="11"/>
      <c r="AC19" s="11"/>
      <c r="AD19" s="274">
        <f>(AB19-AA19)*100</f>
        <v>-0.1943167026090713</v>
      </c>
      <c r="AE19" s="11">
        <f t="shared" ref="AE19:AF19" si="11">AE18/AE8</f>
        <v>-0.13248245043603832</v>
      </c>
      <c r="AF19" s="11">
        <f t="shared" si="11"/>
        <v>-0.13818114757358257</v>
      </c>
      <c r="AG19" s="11"/>
      <c r="AH19" s="274">
        <f>(AF19-AE19)*100</f>
        <v>-0.56986971375442563</v>
      </c>
    </row>
    <row r="20" spans="1:38">
      <c r="A20" s="416"/>
      <c r="B20" s="415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373"/>
      <c r="O20" s="25"/>
      <c r="P20" s="25"/>
      <c r="Q20" s="61"/>
      <c r="R20" s="60"/>
      <c r="S20" s="44"/>
      <c r="T20" s="24"/>
      <c r="U20" s="61"/>
      <c r="V20" s="60"/>
      <c r="W20" s="44"/>
      <c r="X20" s="24"/>
      <c r="Y20" s="61"/>
      <c r="Z20" s="60"/>
      <c r="AA20" s="44"/>
      <c r="AB20" s="24"/>
      <c r="AC20" s="61"/>
      <c r="AD20" s="60"/>
      <c r="AE20" s="25"/>
      <c r="AF20" s="25"/>
      <c r="AG20" s="61"/>
      <c r="AH20" s="60"/>
      <c r="AI20" s="299"/>
      <c r="AJ20" s="299"/>
      <c r="AK20" s="299"/>
      <c r="AL20" s="104"/>
    </row>
    <row r="21" spans="1:38">
      <c r="A21" s="417" t="s">
        <v>430</v>
      </c>
      <c r="B21" s="418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2">
        <f>IFERROR(P21/O21-1,0)</f>
        <v>-0.38022813688212931</v>
      </c>
      <c r="R21" s="92">
        <f>P21-O21</f>
        <v>600</v>
      </c>
      <c r="S21" s="8">
        <v>-4661</v>
      </c>
      <c r="T21" s="8">
        <f>AF21-P21</f>
        <v>815</v>
      </c>
      <c r="U21" s="62">
        <f>IFERROR(T21/S21-1,0)</f>
        <v>-1.1748551812915684</v>
      </c>
      <c r="V21" s="92">
        <f>T21-S21</f>
        <v>5476</v>
      </c>
      <c r="W21" s="8">
        <v>-1392</v>
      </c>
      <c r="X21" s="8"/>
      <c r="Y21" s="62">
        <f>X21/W21-1</f>
        <v>-1</v>
      </c>
      <c r="Z21" s="92">
        <f>X21-W21</f>
        <v>1392</v>
      </c>
      <c r="AA21" s="8">
        <v>1003</v>
      </c>
      <c r="AB21" s="8"/>
      <c r="AC21" s="62">
        <f>AB21/AA21-1</f>
        <v>-1</v>
      </c>
      <c r="AD21" s="92">
        <f>AB21-AA21</f>
        <v>-1003</v>
      </c>
      <c r="AE21" s="8">
        <v>-6239</v>
      </c>
      <c r="AF21" s="8">
        <v>-163</v>
      </c>
      <c r="AG21" s="62">
        <f>IFERROR(AF21/AE21-1,0)</f>
        <v>-0.97387401827215903</v>
      </c>
      <c r="AH21" s="92">
        <f>AF21-AE21</f>
        <v>6076</v>
      </c>
    </row>
    <row r="22" spans="1:38">
      <c r="A22" s="416"/>
      <c r="B22" s="415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  <c r="N22" s="373"/>
      <c r="O22" s="25"/>
      <c r="P22" s="25"/>
      <c r="Q22" s="61"/>
      <c r="R22" s="60"/>
      <c r="S22" s="44"/>
      <c r="T22" s="24"/>
      <c r="U22" s="61"/>
      <c r="V22" s="60"/>
      <c r="W22" s="44"/>
      <c r="X22" s="24"/>
      <c r="Y22" s="61"/>
      <c r="Z22" s="60"/>
      <c r="AA22" s="44"/>
      <c r="AB22" s="24"/>
      <c r="AC22" s="61"/>
      <c r="AD22" s="60"/>
      <c r="AE22" s="25"/>
      <c r="AF22" s="25"/>
      <c r="AG22" s="61"/>
      <c r="AH22" s="60"/>
    </row>
    <row r="23" spans="1:38">
      <c r="A23" s="416" t="s">
        <v>431</v>
      </c>
      <c r="B23" s="415"/>
      <c r="C23" s="379">
        <f>C10+C13+C18+C21+C14+C15</f>
        <v>98500</v>
      </c>
      <c r="D23" s="379">
        <f t="shared" ref="D23:L23" si="12">D10+D13+D18+D21+D14+D15</f>
        <v>64759</v>
      </c>
      <c r="E23" s="379">
        <f t="shared" si="12"/>
        <v>48490</v>
      </c>
      <c r="F23" s="379">
        <f t="shared" si="12"/>
        <v>65180</v>
      </c>
      <c r="G23" s="379">
        <f t="shared" si="12"/>
        <v>31655</v>
      </c>
      <c r="H23" s="379">
        <f t="shared" si="12"/>
        <v>8544.9741403039661</v>
      </c>
      <c r="I23" s="379">
        <f t="shared" si="12"/>
        <v>-12773.390136322469</v>
      </c>
      <c r="J23" s="379">
        <f t="shared" si="12"/>
        <v>-2901.8242947548279</v>
      </c>
      <c r="K23" s="379">
        <f t="shared" si="12"/>
        <v>-126645</v>
      </c>
      <c r="L23" s="379">
        <f t="shared" si="12"/>
        <v>-9616</v>
      </c>
      <c r="M23" s="379">
        <v>50648.677914169384</v>
      </c>
      <c r="N23" s="379">
        <v>55600.616256301873</v>
      </c>
      <c r="O23" s="24">
        <f>O10+O13+O18+O21+O14</f>
        <v>2907.0616240000381</v>
      </c>
      <c r="P23" s="24">
        <f>P10+P13+P18+P21+P14</f>
        <v>3700.7961441835942</v>
      </c>
      <c r="Q23" s="59">
        <f>IFERROR(P23/O23-1,0)</f>
        <v>0.27303670263838398</v>
      </c>
      <c r="R23" s="93">
        <f>P23-O23</f>
        <v>793.73452018355601</v>
      </c>
      <c r="S23" s="24">
        <v>16286</v>
      </c>
      <c r="T23" s="24">
        <f>T10+T13+T18+T21+T14</f>
        <v>16814.620272847998</v>
      </c>
      <c r="U23" s="59">
        <v>0.12326868038508132</v>
      </c>
      <c r="V23" s="93">
        <v>1787.242681833879</v>
      </c>
      <c r="W23" s="24">
        <v>12906</v>
      </c>
      <c r="X23" s="24"/>
      <c r="Y23" s="59">
        <f>X23/W23-1</f>
        <v>-1</v>
      </c>
      <c r="Z23" s="93">
        <f>X23-W23</f>
        <v>-12906</v>
      </c>
      <c r="AA23" s="24">
        <v>60265.554632301835</v>
      </c>
      <c r="AB23" s="24"/>
      <c r="AC23" s="59">
        <f>AB23/AA23-1</f>
        <v>-1</v>
      </c>
      <c r="AD23" s="93">
        <f>AB23-AA23</f>
        <v>-60265.554632301835</v>
      </c>
      <c r="AE23" s="24">
        <f>AE10+AE13+AE18+AE21+AE14</f>
        <v>19194.172573450604</v>
      </c>
      <c r="AF23" s="24">
        <f>AF10+AF13+AF18+AF21+AF14</f>
        <v>20515.416417031636</v>
      </c>
      <c r="AG23" s="59">
        <f>IFERROR(AF23/AE23-1,0)</f>
        <v>6.8835675959722176E-2</v>
      </c>
      <c r="AH23" s="93">
        <f>AF23-AE23</f>
        <v>1321.2438435810327</v>
      </c>
    </row>
    <row r="24" spans="1:38">
      <c r="A24" s="416"/>
      <c r="B24" s="415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  <c r="N24" s="373"/>
      <c r="O24" s="25"/>
      <c r="P24" s="25"/>
      <c r="Q24" s="61"/>
      <c r="R24" s="60"/>
      <c r="S24" s="45"/>
      <c r="T24" s="24"/>
      <c r="U24" s="61"/>
      <c r="V24" s="60"/>
      <c r="W24" s="45"/>
      <c r="X24" s="24"/>
      <c r="Y24" s="61"/>
      <c r="Z24" s="60"/>
      <c r="AA24" s="45"/>
      <c r="AB24" s="24"/>
      <c r="AC24" s="61"/>
      <c r="AD24" s="60"/>
      <c r="AE24" s="25"/>
      <c r="AF24" s="25"/>
      <c r="AG24" s="61"/>
      <c r="AH24" s="60"/>
    </row>
    <row r="25" spans="1:38">
      <c r="A25" s="418"/>
      <c r="B25" s="418" t="s">
        <v>432</v>
      </c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2">
        <f t="shared" ref="Q25:Q27" si="13">IFERROR(P25/O25-1,0)</f>
        <v>-0.50925811628194051</v>
      </c>
      <c r="R25" s="92">
        <f>P25-O25</f>
        <v>8251</v>
      </c>
      <c r="S25" s="8">
        <v>-6476</v>
      </c>
      <c r="T25" s="8">
        <f t="shared" ref="T25:T26" si="14">AF25-P25</f>
        <v>-7585</v>
      </c>
      <c r="U25" s="62">
        <v>9.0970350404312672E-2</v>
      </c>
      <c r="V25" s="92">
        <v>-540</v>
      </c>
      <c r="W25" s="8">
        <v>-7797</v>
      </c>
      <c r="X25" s="8"/>
      <c r="Y25" s="62">
        <f>X25/W25-1</f>
        <v>-1</v>
      </c>
      <c r="Z25" s="92">
        <f>X25-W25</f>
        <v>7797</v>
      </c>
      <c r="AA25" s="8">
        <v>8251</v>
      </c>
      <c r="AB25" s="8"/>
      <c r="AC25" s="62">
        <f>AB25/AA25-1</f>
        <v>-1</v>
      </c>
      <c r="AD25" s="92">
        <f>AB25-AA25</f>
        <v>-8251</v>
      </c>
      <c r="AE25" s="8">
        <v>-22678</v>
      </c>
      <c r="AF25" s="8">
        <v>-15536</v>
      </c>
      <c r="AG25" s="62">
        <f t="shared" ref="AG25:AG27" si="15">IFERROR(AF25/AE25-1,0)</f>
        <v>-0.31493076990916302</v>
      </c>
      <c r="AH25" s="92">
        <f>AF25-AE25</f>
        <v>7142</v>
      </c>
    </row>
    <row r="26" spans="1:38">
      <c r="A26" s="418"/>
      <c r="B26" s="418" t="s">
        <v>433</v>
      </c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2">
        <f t="shared" si="13"/>
        <v>1.1056996182703616E-2</v>
      </c>
      <c r="R26" s="92">
        <f>P26-O26</f>
        <v>84</v>
      </c>
      <c r="S26" s="8">
        <v>6486</v>
      </c>
      <c r="T26" s="8">
        <f t="shared" si="14"/>
        <v>7949</v>
      </c>
      <c r="U26" s="62">
        <v>0.56894049346879538</v>
      </c>
      <c r="V26" s="92">
        <v>2352</v>
      </c>
      <c r="W26" s="8">
        <v>6637</v>
      </c>
      <c r="X26" s="8"/>
      <c r="Y26" s="62">
        <f>X26/W26-1</f>
        <v>-1</v>
      </c>
      <c r="Z26" s="92">
        <f>X26-W26</f>
        <v>-6637</v>
      </c>
      <c r="AA26" s="8">
        <v>84</v>
      </c>
      <c r="AB26" s="8"/>
      <c r="AC26" s="62">
        <f>AB26/AA26-1</f>
        <v>-1</v>
      </c>
      <c r="AD26" s="92">
        <f>AB26-AA26</f>
        <v>-84</v>
      </c>
      <c r="AE26" s="8">
        <v>14083</v>
      </c>
      <c r="AF26" s="8">
        <v>15630</v>
      </c>
      <c r="AG26" s="62">
        <f t="shared" si="15"/>
        <v>0.10984875381665837</v>
      </c>
      <c r="AH26" s="92">
        <f>AF26-AE26</f>
        <v>1547</v>
      </c>
    </row>
    <row r="27" spans="1:38">
      <c r="A27" s="417" t="s">
        <v>434</v>
      </c>
      <c r="B27" s="418"/>
      <c r="C27" s="375">
        <f>SUM(C25:C26)</f>
        <v>7304</v>
      </c>
      <c r="D27" s="375">
        <f t="shared" ref="D27:L27" si="16">SUM(D25:D26)</f>
        <v>16660</v>
      </c>
      <c r="E27" s="375">
        <f t="shared" si="16"/>
        <v>-5546</v>
      </c>
      <c r="F27" s="375">
        <f t="shared" si="16"/>
        <v>-9899</v>
      </c>
      <c r="G27" s="375">
        <f t="shared" si="16"/>
        <v>-599</v>
      </c>
      <c r="H27" s="375">
        <f t="shared" si="16"/>
        <v>-6690</v>
      </c>
      <c r="I27" s="375">
        <f t="shared" si="16"/>
        <v>-2499</v>
      </c>
      <c r="J27" s="375">
        <f t="shared" si="16"/>
        <v>4249</v>
      </c>
      <c r="K27" s="375">
        <f t="shared" si="16"/>
        <v>-5183</v>
      </c>
      <c r="L27" s="375">
        <f t="shared" si="16"/>
        <v>-24308</v>
      </c>
      <c r="M27" s="375">
        <v>-15031</v>
      </c>
      <c r="N27" s="375">
        <v>-9971</v>
      </c>
      <c r="O27" s="8">
        <f t="shared" ref="O27:P27" si="17">O26+O25</f>
        <v>-8605</v>
      </c>
      <c r="P27" s="8">
        <f t="shared" si="17"/>
        <v>-270</v>
      </c>
      <c r="Q27" s="62">
        <f t="shared" si="13"/>
        <v>-0.96862289366647303</v>
      </c>
      <c r="R27" s="92">
        <f>P27-O27</f>
        <v>8335</v>
      </c>
      <c r="S27" s="8">
        <v>10</v>
      </c>
      <c r="T27" s="8">
        <f t="shared" ref="T27" si="18">T26+T25</f>
        <v>364</v>
      </c>
      <c r="U27" s="62">
        <v>-1.0055493895671477</v>
      </c>
      <c r="V27" s="92">
        <v>1812</v>
      </c>
      <c r="W27" s="8">
        <v>-1160</v>
      </c>
      <c r="X27" s="8"/>
      <c r="Y27" s="62">
        <f>X27/W27-1</f>
        <v>-1</v>
      </c>
      <c r="Z27" s="92">
        <f>X27-W27</f>
        <v>1160</v>
      </c>
      <c r="AA27" s="8">
        <v>8335</v>
      </c>
      <c r="AB27" s="8"/>
      <c r="AC27" s="62">
        <f>AB27/AA27-1</f>
        <v>-1</v>
      </c>
      <c r="AD27" s="92">
        <f>AB27-AA27</f>
        <v>-8335</v>
      </c>
      <c r="AE27" s="8">
        <f t="shared" ref="AE27:AF27" si="19">AE26+AE25</f>
        <v>-8595</v>
      </c>
      <c r="AF27" s="8">
        <f t="shared" si="19"/>
        <v>94</v>
      </c>
      <c r="AG27" s="62">
        <f t="shared" si="15"/>
        <v>-1.0109365910413031</v>
      </c>
      <c r="AH27" s="92">
        <f>AF27-AE27</f>
        <v>8689</v>
      </c>
    </row>
    <row r="28" spans="1:38">
      <c r="A28" s="416"/>
      <c r="B28" s="415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  <c r="N28" s="380"/>
      <c r="O28" s="87"/>
      <c r="P28" s="87"/>
      <c r="Q28" s="61"/>
      <c r="R28" s="60"/>
      <c r="S28" s="44"/>
      <c r="T28" s="24"/>
      <c r="U28" s="61"/>
      <c r="V28" s="60"/>
      <c r="W28" s="44"/>
      <c r="X28" s="24"/>
      <c r="Y28" s="61"/>
      <c r="Z28" s="60"/>
      <c r="AA28" s="44"/>
      <c r="AB28" s="24"/>
      <c r="AC28" s="61"/>
      <c r="AD28" s="60"/>
      <c r="AE28" s="87"/>
      <c r="AF28" s="87"/>
      <c r="AG28" s="61"/>
      <c r="AH28" s="60"/>
    </row>
    <row r="29" spans="1:38">
      <c r="A29" s="416" t="s">
        <v>435</v>
      </c>
      <c r="B29" s="415"/>
      <c r="C29" s="371">
        <f>C23+C27</f>
        <v>105804</v>
      </c>
      <c r="D29" s="371">
        <f t="shared" ref="D29:L29" si="20">D23+D27</f>
        <v>81419</v>
      </c>
      <c r="E29" s="371">
        <f t="shared" si="20"/>
        <v>42944</v>
      </c>
      <c r="F29" s="371">
        <f t="shared" si="20"/>
        <v>55281</v>
      </c>
      <c r="G29" s="371">
        <f t="shared" si="20"/>
        <v>31056</v>
      </c>
      <c r="H29" s="371">
        <f t="shared" si="20"/>
        <v>1854.9741403039661</v>
      </c>
      <c r="I29" s="371">
        <f t="shared" si="20"/>
        <v>-15272.390136322469</v>
      </c>
      <c r="J29" s="371">
        <f t="shared" si="20"/>
        <v>1347.1757052451721</v>
      </c>
      <c r="K29" s="371">
        <f t="shared" si="20"/>
        <v>-131828</v>
      </c>
      <c r="L29" s="371">
        <f t="shared" si="20"/>
        <v>-33924</v>
      </c>
      <c r="M29" s="371">
        <v>35617.677914169384</v>
      </c>
      <c r="N29" s="371">
        <v>45629.616256301873</v>
      </c>
      <c r="O29" s="24">
        <f>O23+O27</f>
        <v>-5697.9383759999619</v>
      </c>
      <c r="P29" s="24">
        <f>P23+P27</f>
        <v>3430.7961441835942</v>
      </c>
      <c r="Q29" s="59">
        <f>IFERROR(P29/O29-1,0)</f>
        <v>-1.6021118372628074</v>
      </c>
      <c r="R29" s="93">
        <f>P29-O29</f>
        <v>9128.734520183556</v>
      </c>
      <c r="S29" s="24">
        <v>16296</v>
      </c>
      <c r="T29" s="24">
        <f>T23+T27</f>
        <v>17178.620272847998</v>
      </c>
      <c r="U29" s="59">
        <v>0.28347731563587475</v>
      </c>
      <c r="V29" s="93">
        <v>3599.242681833879</v>
      </c>
      <c r="W29" s="24">
        <v>11746</v>
      </c>
      <c r="X29" s="24"/>
      <c r="Y29" s="59">
        <f>X29/W29-1</f>
        <v>-1</v>
      </c>
      <c r="Z29" s="93">
        <f>X29-W29</f>
        <v>-11746</v>
      </c>
      <c r="AA29" s="24">
        <v>68600.554632301835</v>
      </c>
      <c r="AB29" s="24"/>
      <c r="AC29" s="59">
        <f>AB29/AA29-1</f>
        <v>-1</v>
      </c>
      <c r="AD29" s="93">
        <f>AB29-AA29</f>
        <v>-68600.554632301835</v>
      </c>
      <c r="AE29" s="24">
        <f>AE23+AE27</f>
        <v>10599.172573450604</v>
      </c>
      <c r="AF29" s="24">
        <f>AF23+AF27</f>
        <v>20609.416417031636</v>
      </c>
      <c r="AG29" s="59">
        <f>IFERROR(AF29/AE29-1,0)</f>
        <v>0.94443634861227266</v>
      </c>
      <c r="AH29" s="93">
        <f>AF29-AE29</f>
        <v>10010.243843581033</v>
      </c>
    </row>
    <row r="30" spans="1:38">
      <c r="A30" s="416"/>
      <c r="B30" s="415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  <c r="N30" s="24"/>
      <c r="O30" s="24"/>
      <c r="P30" s="24"/>
      <c r="Q30" s="61"/>
      <c r="R30" s="60"/>
      <c r="S30" s="24"/>
      <c r="T30" s="24"/>
      <c r="U30" s="61"/>
      <c r="V30" s="275"/>
      <c r="W30" s="24"/>
      <c r="X30" s="24"/>
      <c r="Y30" s="61"/>
      <c r="Z30" s="275"/>
      <c r="AA30" s="24"/>
      <c r="AB30" s="24"/>
      <c r="AC30" s="61"/>
      <c r="AD30" s="275"/>
      <c r="AE30" s="24"/>
      <c r="AF30" s="24"/>
      <c r="AG30" s="61"/>
      <c r="AH30" s="93"/>
    </row>
    <row r="31" spans="1:38">
      <c r="A31" s="415"/>
      <c r="B31" s="415" t="s">
        <v>436</v>
      </c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  <c r="N31" s="24">
        <v>-6822</v>
      </c>
      <c r="O31" s="24">
        <v>-3174</v>
      </c>
      <c r="P31" s="24">
        <v>-997</v>
      </c>
      <c r="Q31" s="59">
        <f t="shared" ref="Q31:Q32" si="21">IFERROR(P31/O31-1,0)</f>
        <v>-0.68588531821046006</v>
      </c>
      <c r="R31" s="93">
        <f>P31-O31</f>
        <v>2177</v>
      </c>
      <c r="S31" s="24">
        <v>-1345</v>
      </c>
      <c r="T31" s="24">
        <f t="shared" ref="T31:T32" si="22">AF31-P31</f>
        <v>-1314</v>
      </c>
      <c r="U31" s="59"/>
      <c r="V31" s="93">
        <v>3752</v>
      </c>
      <c r="W31" s="24">
        <v>-1985</v>
      </c>
      <c r="X31" s="24"/>
      <c r="Y31" s="59"/>
      <c r="Z31" s="93">
        <f>X31-W31</f>
        <v>1985</v>
      </c>
      <c r="AA31" s="24">
        <v>3042</v>
      </c>
      <c r="AB31" s="24"/>
      <c r="AC31" s="59"/>
      <c r="AD31" s="93">
        <f>AB31-AA31</f>
        <v>-3042</v>
      </c>
      <c r="AE31" s="24">
        <v>-4519</v>
      </c>
      <c r="AF31" s="24">
        <v>-2311</v>
      </c>
      <c r="AG31" s="59">
        <f t="shared" ref="AG31:AG32" si="23">IFERROR(AF31/AE31-1,0)</f>
        <v>-0.48860367337906618</v>
      </c>
      <c r="AH31" s="93">
        <f>AF31-AE31</f>
        <v>2208</v>
      </c>
    </row>
    <row r="32" spans="1:38">
      <c r="A32" s="415"/>
      <c r="B32" s="415" t="s">
        <v>437</v>
      </c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  <c r="N32" s="24">
        <v>1115</v>
      </c>
      <c r="O32" s="24">
        <v>3812</v>
      </c>
      <c r="P32" s="24">
        <v>574</v>
      </c>
      <c r="Q32" s="59">
        <f t="shared" si="21"/>
        <v>-0.84942287513116477</v>
      </c>
      <c r="R32" s="93">
        <f>P32-O32</f>
        <v>-3238</v>
      </c>
      <c r="S32" s="24">
        <v>-238</v>
      </c>
      <c r="T32" s="24">
        <f t="shared" si="22"/>
        <v>-769</v>
      </c>
      <c r="U32" s="59">
        <v>8.9166666666666661</v>
      </c>
      <c r="V32" s="93">
        <v>-214</v>
      </c>
      <c r="W32" s="24">
        <v>-1218</v>
      </c>
      <c r="X32" s="24"/>
      <c r="Y32" s="59">
        <f>X32/W32-1</f>
        <v>-1</v>
      </c>
      <c r="Z32" s="93">
        <f>X32-W32</f>
        <v>1218</v>
      </c>
      <c r="AA32" s="24">
        <v>-2816</v>
      </c>
      <c r="AB32" s="24"/>
      <c r="AC32" s="59">
        <f>AB32/AA32-1</f>
        <v>-1</v>
      </c>
      <c r="AD32" s="93">
        <f>AB32-AA32</f>
        <v>2816</v>
      </c>
      <c r="AE32" s="24">
        <v>3574</v>
      </c>
      <c r="AF32" s="24">
        <v>-195</v>
      </c>
      <c r="AG32" s="59">
        <f t="shared" si="23"/>
        <v>-1.0545607162842754</v>
      </c>
      <c r="AH32" s="93">
        <f>AF32-AE32</f>
        <v>-3769</v>
      </c>
    </row>
    <row r="33" spans="1:34">
      <c r="A33" s="417" t="s">
        <v>438</v>
      </c>
      <c r="B33" s="418"/>
      <c r="C33" s="375">
        <f>SUM(C31:C32)</f>
        <v>-16847</v>
      </c>
      <c r="D33" s="375">
        <f t="shared" ref="D33:L33" si="24">SUM(D31:D32)</f>
        <v>-17655</v>
      </c>
      <c r="E33" s="375">
        <f t="shared" si="24"/>
        <v>-11422</v>
      </c>
      <c r="F33" s="375">
        <f t="shared" si="24"/>
        <v>-9053</v>
      </c>
      <c r="G33" s="375">
        <f t="shared" si="24"/>
        <v>-9041</v>
      </c>
      <c r="H33" s="375">
        <f t="shared" si="24"/>
        <v>-3791</v>
      </c>
      <c r="I33" s="375">
        <f t="shared" si="24"/>
        <v>3188</v>
      </c>
      <c r="J33" s="375">
        <f t="shared" si="24"/>
        <v>13022</v>
      </c>
      <c r="K33" s="375">
        <f t="shared" si="24"/>
        <v>9174</v>
      </c>
      <c r="L33" s="375">
        <f t="shared" si="24"/>
        <v>5761</v>
      </c>
      <c r="M33" s="375">
        <v>-7537</v>
      </c>
      <c r="N33" s="375">
        <v>-5707</v>
      </c>
      <c r="O33" s="8">
        <f t="shared" ref="O33:P33" si="25">SUM(O31:O32)</f>
        <v>638</v>
      </c>
      <c r="P33" s="8">
        <f t="shared" si="25"/>
        <v>-423</v>
      </c>
      <c r="Q33" s="62">
        <f>IFERROR(P33/O33-1,0)</f>
        <v>-1.6630094043887147</v>
      </c>
      <c r="R33" s="92">
        <f>P33-O33</f>
        <v>-1061</v>
      </c>
      <c r="S33" s="8">
        <v>-1583</v>
      </c>
      <c r="T33" s="8">
        <f>SUM(T31:T32)</f>
        <v>-2083</v>
      </c>
      <c r="U33" s="62">
        <f>IFERROR(T33/S33-1,0)</f>
        <v>0.31585596967782692</v>
      </c>
      <c r="V33" s="92">
        <f>T33-S33</f>
        <v>-500</v>
      </c>
      <c r="W33" s="8">
        <v>-3203</v>
      </c>
      <c r="X33" s="8"/>
      <c r="Y33" s="62">
        <f>X33/W33-1</f>
        <v>-1</v>
      </c>
      <c r="Z33" s="92">
        <f>X33-W33</f>
        <v>3203</v>
      </c>
      <c r="AA33" s="8">
        <v>226</v>
      </c>
      <c r="AB33" s="8"/>
      <c r="AC33" s="62">
        <f>AB33/AA33-1</f>
        <v>-1</v>
      </c>
      <c r="AD33" s="92">
        <f>AB33-AA33</f>
        <v>-226</v>
      </c>
      <c r="AE33" s="8">
        <f t="shared" ref="AE33" si="26">SUM(AE31:AE32)</f>
        <v>-945</v>
      </c>
      <c r="AF33" s="8">
        <f>SUM(AF31:AF32)</f>
        <v>-2506</v>
      </c>
      <c r="AG33" s="62">
        <f>IFERROR(AF33/AE33-1,0)</f>
        <v>1.6518518518518519</v>
      </c>
      <c r="AH33" s="92">
        <f>AF33-AE33</f>
        <v>-1561</v>
      </c>
    </row>
    <row r="34" spans="1:34">
      <c r="A34" s="416"/>
      <c r="B34" s="415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  <c r="N34" s="373"/>
      <c r="O34" s="25"/>
      <c r="P34" s="25"/>
      <c r="Q34" s="61"/>
      <c r="R34" s="60"/>
      <c r="S34" s="7">
        <v>0</v>
      </c>
      <c r="T34" s="24"/>
      <c r="U34" s="61"/>
      <c r="V34" s="60"/>
      <c r="W34" s="7"/>
      <c r="X34" s="24"/>
      <c r="Y34" s="61"/>
      <c r="Z34" s="60"/>
      <c r="AA34" s="7"/>
      <c r="AB34" s="24"/>
      <c r="AC34" s="61"/>
      <c r="AD34" s="60"/>
      <c r="AE34" s="25"/>
      <c r="AF34" s="25"/>
      <c r="AG34" s="61"/>
      <c r="AH34" s="60"/>
    </row>
    <row r="35" spans="1:34">
      <c r="A35" s="417" t="s">
        <v>439</v>
      </c>
      <c r="B35" s="418"/>
      <c r="C35" s="375">
        <f>C29+C33</f>
        <v>88957</v>
      </c>
      <c r="D35" s="375">
        <f t="shared" ref="D35:L35" si="27">D29+D33</f>
        <v>63764</v>
      </c>
      <c r="E35" s="375">
        <f t="shared" si="27"/>
        <v>31522</v>
      </c>
      <c r="F35" s="375">
        <f t="shared" si="27"/>
        <v>46228</v>
      </c>
      <c r="G35" s="375">
        <f t="shared" si="27"/>
        <v>22015</v>
      </c>
      <c r="H35" s="375">
        <f t="shared" si="27"/>
        <v>-1936.0258596960339</v>
      </c>
      <c r="I35" s="375">
        <f t="shared" si="27"/>
        <v>-12084.390136322469</v>
      </c>
      <c r="J35" s="375">
        <f t="shared" si="27"/>
        <v>14369.175705245172</v>
      </c>
      <c r="K35" s="375">
        <f t="shared" si="27"/>
        <v>-122654</v>
      </c>
      <c r="L35" s="375">
        <f t="shared" si="27"/>
        <v>-28163</v>
      </c>
      <c r="M35" s="375">
        <v>28080.677914169384</v>
      </c>
      <c r="N35" s="375">
        <v>39922.616256301873</v>
      </c>
      <c r="O35" s="8">
        <f t="shared" ref="O35:P35" si="28">SUM(O29:O32)</f>
        <v>-5059.9383759999619</v>
      </c>
      <c r="P35" s="8">
        <f t="shared" si="28"/>
        <v>3007.7961441835942</v>
      </c>
      <c r="Q35" s="62">
        <f>IFERROR(P35/O35-1,0)</f>
        <v>-1.5944333548507266</v>
      </c>
      <c r="R35" s="92">
        <f>P35-O35</f>
        <v>8067.734520183556</v>
      </c>
      <c r="S35" s="8">
        <v>14713</v>
      </c>
      <c r="T35" s="8">
        <f t="shared" ref="T35" si="29">SUM(T29:T32)</f>
        <v>15095.620272847998</v>
      </c>
      <c r="U35" s="62">
        <f>IFERROR(T35/S35-1,0)</f>
        <v>2.6005591847209741E-2</v>
      </c>
      <c r="V35" s="92">
        <f>T35-S35</f>
        <v>382.62027284799842</v>
      </c>
      <c r="W35" s="8">
        <v>8543</v>
      </c>
      <c r="X35" s="8"/>
      <c r="Y35" s="62">
        <f>X35/W35-1</f>
        <v>-1</v>
      </c>
      <c r="Z35" s="92">
        <f>X35-W35</f>
        <v>-8543</v>
      </c>
      <c r="AA35" s="8">
        <v>68826.554632301835</v>
      </c>
      <c r="AB35" s="8"/>
      <c r="AC35" s="62">
        <f>AB35/AA35-1</f>
        <v>-1</v>
      </c>
      <c r="AD35" s="92">
        <f>AB35-AA35</f>
        <v>-68826.554632301835</v>
      </c>
      <c r="AE35" s="8">
        <f t="shared" ref="AE35:AF35" si="30">SUM(AE29:AE32)</f>
        <v>9654.1725734506035</v>
      </c>
      <c r="AF35" s="8">
        <f t="shared" si="30"/>
        <v>18103.416417031636</v>
      </c>
      <c r="AG35" s="62">
        <f>IFERROR(AF35/AE35-1,0)</f>
        <v>0.87519088552620472</v>
      </c>
      <c r="AH35" s="92">
        <f>AF35-AE35</f>
        <v>8449.2438435810327</v>
      </c>
    </row>
    <row r="36" spans="1:34">
      <c r="A36" s="419"/>
      <c r="B36" s="419" t="s">
        <v>440</v>
      </c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1">P35/P8</f>
        <v>4.7352851860669551E-2</v>
      </c>
      <c r="Q36" s="9"/>
      <c r="R36" s="55">
        <f>(P36-O36)*100</f>
        <v>12.860820528949885</v>
      </c>
      <c r="S36" s="9">
        <v>0.15461490768082892</v>
      </c>
      <c r="T36" s="9">
        <f t="shared" ref="T36" si="32">T35/T8</f>
        <v>0.17280651463177854</v>
      </c>
      <c r="U36" s="9"/>
      <c r="V36" s="55">
        <v>3.2517328140601292</v>
      </c>
      <c r="W36" s="9"/>
      <c r="X36" s="9"/>
      <c r="Y36" s="9"/>
      <c r="Z36" s="55">
        <f>(X36-W36)*100</f>
        <v>0</v>
      </c>
      <c r="AA36" s="9"/>
      <c r="AB36" s="9"/>
      <c r="AC36" s="9"/>
      <c r="AD36" s="55">
        <f>(AB36-AA36)*100</f>
        <v>0</v>
      </c>
      <c r="AE36" s="9">
        <f>AE35/AE8</f>
        <v>6.1322742458797048E-2</v>
      </c>
      <c r="AF36" s="9">
        <f t="shared" ref="AF36" si="33">AF35/AF8</f>
        <v>0.1199899681268163</v>
      </c>
      <c r="AG36" s="9"/>
      <c r="AH36" s="55">
        <f>(AF36-AE36)*100</f>
        <v>5.8667225668019247</v>
      </c>
    </row>
    <row r="37" spans="1:34">
      <c r="A37" s="416"/>
      <c r="B37" s="415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  <c r="N37" s="373"/>
      <c r="O37" s="25"/>
      <c r="P37" s="25"/>
      <c r="Q37" s="61"/>
      <c r="R37" s="60"/>
      <c r="S37" s="46"/>
      <c r="T37" s="46"/>
      <c r="U37" s="61"/>
      <c r="V37" s="60"/>
      <c r="W37" s="46"/>
      <c r="X37" s="46"/>
      <c r="Y37" s="61"/>
      <c r="Z37" s="60"/>
      <c r="AA37" s="46"/>
      <c r="AB37" s="46"/>
      <c r="AC37" s="61"/>
      <c r="AD37" s="60"/>
      <c r="AE37" s="25"/>
      <c r="AF37" s="25"/>
      <c r="AG37" s="61"/>
      <c r="AH37" s="60"/>
    </row>
    <row r="38" spans="1:34">
      <c r="A38" s="413" t="s">
        <v>441</v>
      </c>
      <c r="B38" s="421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  <c r="N38" s="24">
        <v>-9751</v>
      </c>
      <c r="O38" s="24">
        <v>-3146</v>
      </c>
      <c r="P38" s="24">
        <v>-2418</v>
      </c>
      <c r="Q38" s="66">
        <f>IFERROR(P38/O38-1,0)</f>
        <v>-0.23140495867768596</v>
      </c>
      <c r="R38" s="93">
        <f>P38-O38</f>
        <v>728</v>
      </c>
      <c r="S38" s="24">
        <v>-2712</v>
      </c>
      <c r="T38" s="24">
        <v>-2325</v>
      </c>
      <c r="U38" s="59">
        <v>0.3013435700575815</v>
      </c>
      <c r="V38" s="93">
        <v>-628</v>
      </c>
      <c r="W38" s="24">
        <v>-2117</v>
      </c>
      <c r="X38" s="24"/>
      <c r="Y38" s="59">
        <f>X38/W38-1</f>
        <v>-1</v>
      </c>
      <c r="Z38" s="93">
        <f t="shared" ref="Z38:Z50" si="34">X38-W38</f>
        <v>2117</v>
      </c>
      <c r="AA38" s="24">
        <v>-1776</v>
      </c>
      <c r="AB38" s="24"/>
      <c r="AC38" s="59">
        <f>AB38/AA38-1</f>
        <v>-1</v>
      </c>
      <c r="AD38" s="93">
        <f t="shared" ref="AD38:AD43" si="35">AB38-AA38</f>
        <v>1776</v>
      </c>
      <c r="AE38" s="24">
        <f>O38+S38</f>
        <v>-5858</v>
      </c>
      <c r="AF38" s="24">
        <f>P38+T38</f>
        <v>-4743</v>
      </c>
      <c r="AG38" s="59">
        <f>IFERROR(AF38/AE38-1,0)</f>
        <v>-0.1903379993171731</v>
      </c>
      <c r="AH38" s="93">
        <f>AF38-AE38</f>
        <v>1115</v>
      </c>
    </row>
    <row r="39" spans="1:34">
      <c r="A39" s="413" t="s">
        <v>442</v>
      </c>
      <c r="B39" s="421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  <c r="N39" s="24">
        <v>16031.365390000003</v>
      </c>
      <c r="O39" s="24">
        <v>5855.9434100000008</v>
      </c>
      <c r="P39" s="24">
        <v>4183.9720799999986</v>
      </c>
      <c r="Q39" s="66">
        <f>IFERROR(P39/O39-1,0)</f>
        <v>-0.28551698896967348</v>
      </c>
      <c r="R39" s="93">
        <f>P39-O39</f>
        <v>-1671.9713300000021</v>
      </c>
      <c r="S39" s="24">
        <v>3840.9999400000006</v>
      </c>
      <c r="T39" s="24">
        <v>4283.6144100000001</v>
      </c>
      <c r="U39" s="59">
        <v>0.22676459278185912</v>
      </c>
      <c r="V39" s="93">
        <v>709.99994000000061</v>
      </c>
      <c r="W39" s="24">
        <v>3586.1706000000004</v>
      </c>
      <c r="X39" s="24"/>
      <c r="Y39" s="59">
        <f>X39/W39-1</f>
        <v>-1</v>
      </c>
      <c r="Z39" s="93">
        <f t="shared" si="34"/>
        <v>-3586.1706000000004</v>
      </c>
      <c r="AA39" s="24">
        <v>2748.25144</v>
      </c>
      <c r="AB39" s="24"/>
      <c r="AC39" s="59">
        <f>AB39/AA39-1</f>
        <v>-1</v>
      </c>
      <c r="AD39" s="93">
        <f t="shared" si="35"/>
        <v>-2748.25144</v>
      </c>
      <c r="AE39" s="24">
        <f t="shared" ref="AE39:AE43" si="36">O39+S39</f>
        <v>9696.9433500000014</v>
      </c>
      <c r="AF39" s="24">
        <f t="shared" ref="AF39:AF43" si="37">P39+T39</f>
        <v>8467.5864899999979</v>
      </c>
      <c r="AG39" s="59">
        <f>IFERROR(AF39/AE39-1,0)</f>
        <v>-0.12677777064666496</v>
      </c>
      <c r="AH39" s="93">
        <f>AF39-AE39</f>
        <v>-1229.3568600000035</v>
      </c>
    </row>
    <row r="40" spans="1:34">
      <c r="A40" s="413" t="s">
        <v>443</v>
      </c>
      <c r="B40" s="421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  <c r="N40" s="24">
        <v>11121.449176155087</v>
      </c>
      <c r="O40" s="24">
        <v>1741.008615749151</v>
      </c>
      <c r="P40" s="24">
        <v>3497.0078448766808</v>
      </c>
      <c r="Q40" s="66">
        <f t="shared" ref="Q40:Q42" si="38">IFERROR(P40/O40-1,0)</f>
        <v>1.0086103039598848</v>
      </c>
      <c r="R40" s="93">
        <f t="shared" ref="R40:R43" si="39">P40-O40</f>
        <v>1755.9992291275298</v>
      </c>
      <c r="S40" s="24">
        <v>2644.067880549459</v>
      </c>
      <c r="T40" s="24">
        <v>3665.257867152</v>
      </c>
      <c r="U40" s="59">
        <v>1.6414264540953636</v>
      </c>
      <c r="V40" s="93">
        <v>1643.067880549459</v>
      </c>
      <c r="W40" s="24">
        <v>3051.4243859667849</v>
      </c>
      <c r="X40" s="24"/>
      <c r="Y40" s="59">
        <f>X40/W40-1</f>
        <v>-1</v>
      </c>
      <c r="Z40" s="93">
        <f t="shared" si="34"/>
        <v>-3051.4243859667849</v>
      </c>
      <c r="AA40" s="24">
        <v>3684.9482938896917</v>
      </c>
      <c r="AB40" s="24"/>
      <c r="AC40" s="59">
        <f>AB40/AA40-1</f>
        <v>-1</v>
      </c>
      <c r="AD40" s="93">
        <f t="shared" si="35"/>
        <v>-3684.9482938896917</v>
      </c>
      <c r="AE40" s="24">
        <f t="shared" si="36"/>
        <v>4385.0764962986104</v>
      </c>
      <c r="AF40" s="24">
        <f t="shared" si="37"/>
        <v>7162.2657120286804</v>
      </c>
      <c r="AG40" s="59">
        <f t="shared" ref="AG40:AG42" si="40">IFERROR(AF40/AE40-1,0)</f>
        <v>0.63332742725794211</v>
      </c>
      <c r="AH40" s="93">
        <f t="shared" ref="AH40:AH43" si="41">AF40-AE40</f>
        <v>2777.1892157300699</v>
      </c>
    </row>
    <row r="41" spans="1:34">
      <c r="A41" s="413" t="s">
        <v>432</v>
      </c>
      <c r="B41" s="421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  <c r="N41" s="24">
        <v>-37122.594119999994</v>
      </c>
      <c r="O41" s="24">
        <v>-16201.698059999999</v>
      </c>
      <c r="P41" s="24">
        <v>-7950.8164299999989</v>
      </c>
      <c r="Q41" s="66">
        <f t="shared" si="38"/>
        <v>-0.50926030095391128</v>
      </c>
      <c r="R41" s="93">
        <f t="shared" si="39"/>
        <v>8250.8816299999999</v>
      </c>
      <c r="S41" s="24">
        <v>-6476.1584099999991</v>
      </c>
      <c r="T41" s="24">
        <v>-7585.3264700000018</v>
      </c>
      <c r="U41" s="59">
        <v>9.1180860994102719E-2</v>
      </c>
      <c r="V41" s="93">
        <v>-541.15840999999909</v>
      </c>
      <c r="W41" s="24">
        <v>-7797.0736500000003</v>
      </c>
      <c r="X41" s="24"/>
      <c r="Y41" s="59">
        <f>X41/W41-1</f>
        <v>-1</v>
      </c>
      <c r="Z41" s="93">
        <f t="shared" si="34"/>
        <v>7797.0736500000003</v>
      </c>
      <c r="AA41" s="24">
        <v>-6647.6640000000007</v>
      </c>
      <c r="AB41" s="24"/>
      <c r="AC41" s="59">
        <f>AB41/AA41-1</f>
        <v>-1</v>
      </c>
      <c r="AD41" s="93">
        <f t="shared" si="35"/>
        <v>6647.6640000000007</v>
      </c>
      <c r="AE41" s="24">
        <f t="shared" si="36"/>
        <v>-22677.856469999999</v>
      </c>
      <c r="AF41" s="24">
        <f t="shared" si="37"/>
        <v>-15536.142900000001</v>
      </c>
      <c r="AG41" s="59">
        <f t="shared" si="40"/>
        <v>-0.31492013274921293</v>
      </c>
      <c r="AH41" s="93">
        <f t="shared" si="41"/>
        <v>7141.7135699999981</v>
      </c>
    </row>
    <row r="42" spans="1:34">
      <c r="A42" s="413" t="s">
        <v>444</v>
      </c>
      <c r="B42" s="421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  <c r="N42" s="24">
        <v>-6822.4998500000002</v>
      </c>
      <c r="O42" s="24">
        <v>-3173.6372299999998</v>
      </c>
      <c r="P42" s="24">
        <v>-997.18193000000008</v>
      </c>
      <c r="Q42" s="66">
        <f t="shared" si="38"/>
        <v>-0.68579208720714435</v>
      </c>
      <c r="R42" s="93">
        <f t="shared" si="39"/>
        <v>2176.4552999999996</v>
      </c>
      <c r="S42" s="24">
        <v>-1344.0540799999999</v>
      </c>
      <c r="T42" s="24">
        <v>-1314.1210499999997</v>
      </c>
      <c r="U42" s="59"/>
      <c r="V42" s="93">
        <v>3751.9459200000001</v>
      </c>
      <c r="W42" s="24">
        <v>-1985.5635399999999</v>
      </c>
      <c r="X42" s="24"/>
      <c r="Y42" s="59"/>
      <c r="Z42" s="93">
        <f t="shared" si="34"/>
        <v>1985.5635399999999</v>
      </c>
      <c r="AA42" s="24">
        <v>-319.24499999999989</v>
      </c>
      <c r="AB42" s="24"/>
      <c r="AC42" s="59"/>
      <c r="AD42" s="93">
        <f t="shared" si="35"/>
        <v>319.24499999999989</v>
      </c>
      <c r="AE42" s="24">
        <f t="shared" si="36"/>
        <v>-4517.6913100000002</v>
      </c>
      <c r="AF42" s="24">
        <f t="shared" si="37"/>
        <v>-2311.3029799999999</v>
      </c>
      <c r="AG42" s="59">
        <f t="shared" si="40"/>
        <v>-0.48838846627615207</v>
      </c>
      <c r="AH42" s="93">
        <f t="shared" si="41"/>
        <v>2206.3883300000002</v>
      </c>
    </row>
    <row r="43" spans="1:34">
      <c r="A43" s="413" t="s">
        <v>445</v>
      </c>
      <c r="B43" s="421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  <c r="N43" s="24">
        <v>1115.0376599999995</v>
      </c>
      <c r="O43" s="24">
        <v>3811.6141699999998</v>
      </c>
      <c r="P43" s="24">
        <v>573.66815999999994</v>
      </c>
      <c r="Q43" s="66">
        <f>IFERROR(P43/O43-1,0)</f>
        <v>-0.84949469321549931</v>
      </c>
      <c r="R43" s="93">
        <f t="shared" si="39"/>
        <v>-3237.9460099999997</v>
      </c>
      <c r="S43" s="24">
        <v>-238.92941000000019</v>
      </c>
      <c r="T43" s="24">
        <v>-768.41834000000017</v>
      </c>
      <c r="U43" s="59">
        <v>8.9553920833333418</v>
      </c>
      <c r="V43" s="93">
        <v>-214.92941000000019</v>
      </c>
      <c r="W43" s="24">
        <v>-1216.6550999999999</v>
      </c>
      <c r="X43" s="24"/>
      <c r="Y43" s="59">
        <f>X43/W43-1</f>
        <v>-1</v>
      </c>
      <c r="Z43" s="93">
        <f t="shared" si="34"/>
        <v>1216.6550999999999</v>
      </c>
      <c r="AA43" s="24">
        <v>-1240.9920000000002</v>
      </c>
      <c r="AB43" s="24"/>
      <c r="AC43" s="59">
        <f>AB43/AA43-1</f>
        <v>-1</v>
      </c>
      <c r="AD43" s="93">
        <f t="shared" si="35"/>
        <v>1240.9920000000002</v>
      </c>
      <c r="AE43" s="24">
        <f t="shared" si="36"/>
        <v>3572.6847599999996</v>
      </c>
      <c r="AF43" s="24">
        <f t="shared" si="37"/>
        <v>-194.75018000000023</v>
      </c>
      <c r="AG43" s="59">
        <f>IFERROR(AF43/AE43-1,0)</f>
        <v>-1.0545108771365543</v>
      </c>
      <c r="AH43" s="93">
        <f t="shared" si="41"/>
        <v>-3767.4349400000001</v>
      </c>
    </row>
    <row r="44" spans="1:34">
      <c r="A44" s="417" t="s">
        <v>53</v>
      </c>
      <c r="B44" s="418"/>
      <c r="C44" s="375">
        <f>C35-SUM(C38:C43)</f>
        <v>97725</v>
      </c>
      <c r="D44" s="375">
        <f t="shared" ref="D44:L44" si="42">D35-SUM(D38:D43)</f>
        <v>70184</v>
      </c>
      <c r="E44" s="375">
        <f t="shared" si="42"/>
        <v>57951.084841425298</v>
      </c>
      <c r="F44" s="375">
        <f t="shared" si="42"/>
        <v>78256.921220400545</v>
      </c>
      <c r="G44" s="375">
        <f t="shared" si="42"/>
        <v>46396.404469999994</v>
      </c>
      <c r="H44" s="375">
        <f t="shared" si="42"/>
        <v>22959.628080100942</v>
      </c>
      <c r="I44" s="375">
        <f t="shared" si="42"/>
        <v>140.88288430401917</v>
      </c>
      <c r="J44" s="375">
        <f t="shared" si="42"/>
        <v>8375.8018714157861</v>
      </c>
      <c r="K44" s="375">
        <f t="shared" si="42"/>
        <v>-114404.52688279217</v>
      </c>
      <c r="L44" s="375">
        <f t="shared" si="42"/>
        <v>1433</v>
      </c>
      <c r="M44" s="375">
        <v>59518.578614169382</v>
      </c>
      <c r="N44" s="375">
        <v>65350.858000146785</v>
      </c>
      <c r="O44" s="28">
        <f>O35-SUM(O38:O43)</f>
        <v>6052.830718250887</v>
      </c>
      <c r="P44" s="8">
        <f>P35-SUM(P38:P43)</f>
        <v>6119.1464193069141</v>
      </c>
      <c r="Q44" s="62">
        <f>IFERROR(P44/O44-1,0)</f>
        <v>1.0956146659788057E-2</v>
      </c>
      <c r="R44" s="92">
        <f>P44-O44</f>
        <v>66.315701056027137</v>
      </c>
      <c r="S44" s="8">
        <v>18999.07407945054</v>
      </c>
      <c r="T44" s="8">
        <f>T35-SUM(T38:T43)</f>
        <v>19139.613855696</v>
      </c>
      <c r="U44" s="62">
        <f>IFERROR(T44/S44-1,0)</f>
        <v>7.3971908134968789E-3</v>
      </c>
      <c r="V44" s="92">
        <f>T44-S44</f>
        <v>140.53977624545951</v>
      </c>
      <c r="W44" s="8">
        <v>15021.697304033216</v>
      </c>
      <c r="X44" s="8"/>
      <c r="Y44" s="62">
        <f>IFERROR(X44/W44-1,0)</f>
        <v>-1</v>
      </c>
      <c r="Z44" s="92">
        <f>X44-W44</f>
        <v>-15021.697304033216</v>
      </c>
      <c r="AA44" s="8">
        <v>72377.255898412142</v>
      </c>
      <c r="AB44" s="8"/>
      <c r="AC44" s="62">
        <f>IFERROR(AB44/AA44-1,0)</f>
        <v>-1</v>
      </c>
      <c r="AD44" s="92">
        <f>AB44-AA44</f>
        <v>-72377.255898412142</v>
      </c>
      <c r="AE44" s="8">
        <f>AE35-SUM(AE38:AE43)</f>
        <v>25053.015747151989</v>
      </c>
      <c r="AF44" s="8">
        <f>AF35-SUM(AF38:AF43)</f>
        <v>25258.760275002958</v>
      </c>
      <c r="AG44" s="62">
        <f>IFERROR(AF44/AE44-1,0)</f>
        <v>8.21236572584505E-3</v>
      </c>
      <c r="AH44" s="92">
        <f>AF44-AE44</f>
        <v>205.74452785096946</v>
      </c>
    </row>
    <row r="45" spans="1:34">
      <c r="A45" s="422" t="s">
        <v>446</v>
      </c>
      <c r="B45" s="423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  <c r="N45" s="24">
        <v>-3656</v>
      </c>
      <c r="O45" s="24">
        <v>-562</v>
      </c>
      <c r="P45" s="24">
        <v>-509</v>
      </c>
      <c r="Q45" s="66">
        <f>IFERROR(P45/O45-1,0)</f>
        <v>-9.4306049822064031E-2</v>
      </c>
      <c r="R45" s="93">
        <f t="shared" ref="R45:R51" si="43">P45-O45</f>
        <v>53</v>
      </c>
      <c r="S45" s="24">
        <v>-798</v>
      </c>
      <c r="T45" s="24">
        <v>-668.92100000000005</v>
      </c>
      <c r="U45" s="59">
        <v>-2.3081967213114751</v>
      </c>
      <c r="V45" s="93">
        <v>-1408</v>
      </c>
      <c r="W45" s="24">
        <v>-1025</v>
      </c>
      <c r="X45" s="24"/>
      <c r="Y45" s="59">
        <f>X45/W45-1</f>
        <v>-1</v>
      </c>
      <c r="Z45" s="93">
        <f t="shared" si="34"/>
        <v>1025</v>
      </c>
      <c r="AA45" s="24">
        <v>-1271</v>
      </c>
      <c r="AB45" s="24"/>
      <c r="AC45" s="59">
        <f>AB45/AA45-1</f>
        <v>-1</v>
      </c>
      <c r="AD45" s="93">
        <f t="shared" ref="AD45:AD50" si="44">AB45-AA45</f>
        <v>1271</v>
      </c>
      <c r="AE45" s="24">
        <f t="shared" ref="AE45:AE51" si="45">O45+S45</f>
        <v>-1360</v>
      </c>
      <c r="AF45" s="24">
        <f t="shared" ref="AF45:AF51" si="46">P45+T45</f>
        <v>-1177.921</v>
      </c>
      <c r="AG45" s="59">
        <f>IFERROR(AF45/AE45-1,0)</f>
        <v>-0.13388161764705875</v>
      </c>
      <c r="AH45" s="93">
        <f t="shared" ref="AH45:AH50" si="47">AF45-AE45</f>
        <v>182.07899999999995</v>
      </c>
    </row>
    <row r="46" spans="1:34">
      <c r="A46" s="424" t="s">
        <v>447</v>
      </c>
      <c r="B46" s="425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  <c r="N46" s="24">
        <v>0</v>
      </c>
      <c r="O46" s="24">
        <v>0</v>
      </c>
      <c r="P46" s="24">
        <v>0</v>
      </c>
      <c r="Q46" s="66">
        <f>IFERROR(P46/O46-1,0)</f>
        <v>0</v>
      </c>
      <c r="R46" s="93">
        <f t="shared" si="43"/>
        <v>0</v>
      </c>
      <c r="S46" s="24">
        <v>0</v>
      </c>
      <c r="T46" s="24"/>
      <c r="U46" s="59">
        <v>-1</v>
      </c>
      <c r="V46" s="93">
        <v>666</v>
      </c>
      <c r="W46" s="24">
        <v>0</v>
      </c>
      <c r="X46" s="24"/>
      <c r="Y46" s="59">
        <f>IFERROR(X46/W46-1,0)</f>
        <v>0</v>
      </c>
      <c r="Z46" s="93">
        <f t="shared" si="34"/>
        <v>0</v>
      </c>
      <c r="AA46" s="24">
        <v>0</v>
      </c>
      <c r="AB46" s="24"/>
      <c r="AC46" s="59">
        <f>IFERROR(AB46/AA46-1,0)</f>
        <v>0</v>
      </c>
      <c r="AD46" s="93">
        <f t="shared" si="44"/>
        <v>0</v>
      </c>
      <c r="AE46" s="24">
        <f t="shared" si="45"/>
        <v>0</v>
      </c>
      <c r="AF46" s="24">
        <f t="shared" si="46"/>
        <v>0</v>
      </c>
      <c r="AG46" s="59">
        <f>IFERROR(AF46/AE46-1,0)</f>
        <v>0</v>
      </c>
      <c r="AH46" s="93">
        <f t="shared" si="47"/>
        <v>0</v>
      </c>
    </row>
    <row r="47" spans="1:34">
      <c r="A47" s="424" t="s">
        <v>448</v>
      </c>
      <c r="B47" s="425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66">
        <f>IFERROR(P47/O47-1,0)</f>
        <v>0</v>
      </c>
      <c r="R47" s="93">
        <f t="shared" si="43"/>
        <v>0</v>
      </c>
      <c r="S47" s="24"/>
      <c r="T47" s="24"/>
      <c r="U47" s="59">
        <v>0</v>
      </c>
      <c r="V47" s="93">
        <v>0</v>
      </c>
      <c r="W47" s="24">
        <v>0</v>
      </c>
      <c r="X47" s="24"/>
      <c r="Y47" s="59">
        <f>IFERROR(X47/W47-1,0)</f>
        <v>0</v>
      </c>
      <c r="Z47" s="93">
        <f t="shared" si="34"/>
        <v>0</v>
      </c>
      <c r="AA47" s="24">
        <v>0</v>
      </c>
      <c r="AB47" s="24"/>
      <c r="AC47" s="59">
        <f>IFERROR(AB47/AA47-1,0)</f>
        <v>0</v>
      </c>
      <c r="AD47" s="93">
        <f t="shared" si="44"/>
        <v>0</v>
      </c>
      <c r="AE47" s="24">
        <f t="shared" si="45"/>
        <v>0</v>
      </c>
      <c r="AF47" s="24">
        <f t="shared" si="46"/>
        <v>0</v>
      </c>
      <c r="AG47" s="59">
        <f>IFERROR(AF47/AE47-1,0)</f>
        <v>0</v>
      </c>
      <c r="AH47" s="93">
        <f t="shared" si="47"/>
        <v>0</v>
      </c>
    </row>
    <row r="48" spans="1:34">
      <c r="A48" s="424" t="s">
        <v>449</v>
      </c>
      <c r="B48" s="425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66">
        <f t="shared" ref="Q48:Q51" si="48">IFERROR(P48/O48-1,0)</f>
        <v>0</v>
      </c>
      <c r="R48" s="93">
        <f t="shared" si="43"/>
        <v>0</v>
      </c>
      <c r="S48" s="24"/>
      <c r="T48" s="24"/>
      <c r="U48" s="59" t="e">
        <v>#DIV/0!</v>
      </c>
      <c r="V48" s="93">
        <v>0</v>
      </c>
      <c r="W48" s="24">
        <v>0</v>
      </c>
      <c r="X48" s="24"/>
      <c r="Y48" s="59" t="e">
        <f>X48/W48-1</f>
        <v>#DIV/0!</v>
      </c>
      <c r="Z48" s="93">
        <f t="shared" si="34"/>
        <v>0</v>
      </c>
      <c r="AA48" s="24">
        <v>0</v>
      </c>
      <c r="AB48" s="24"/>
      <c r="AC48" s="59" t="e">
        <f>AB48/AA48-1</f>
        <v>#DIV/0!</v>
      </c>
      <c r="AD48" s="93">
        <f t="shared" si="44"/>
        <v>0</v>
      </c>
      <c r="AE48" s="24">
        <f t="shared" si="45"/>
        <v>0</v>
      </c>
      <c r="AF48" s="24">
        <f t="shared" si="46"/>
        <v>0</v>
      </c>
      <c r="AG48" s="59">
        <f t="shared" ref="AG48:AG50" si="49">IFERROR(AF48/AE48-1,0)</f>
        <v>0</v>
      </c>
      <c r="AH48" s="93">
        <f t="shared" si="47"/>
        <v>0</v>
      </c>
    </row>
    <row r="49" spans="1:34">
      <c r="A49" s="413" t="s">
        <v>450</v>
      </c>
      <c r="B49" s="421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66">
        <f t="shared" si="48"/>
        <v>0</v>
      </c>
      <c r="R49" s="93">
        <f t="shared" si="43"/>
        <v>0</v>
      </c>
      <c r="S49" s="24"/>
      <c r="T49" s="24"/>
      <c r="U49" s="59" t="e">
        <v>#DIV/0!</v>
      </c>
      <c r="V49" s="93">
        <v>0</v>
      </c>
      <c r="W49" s="24">
        <v>0</v>
      </c>
      <c r="X49" s="24"/>
      <c r="Y49" s="59" t="e">
        <f>X49/W49-1</f>
        <v>#DIV/0!</v>
      </c>
      <c r="Z49" s="93">
        <f t="shared" si="34"/>
        <v>0</v>
      </c>
      <c r="AA49" s="24">
        <v>0</v>
      </c>
      <c r="AB49" s="24"/>
      <c r="AC49" s="59" t="e">
        <f>AB49/AA49-1</f>
        <v>#DIV/0!</v>
      </c>
      <c r="AD49" s="93">
        <f t="shared" si="44"/>
        <v>0</v>
      </c>
      <c r="AE49" s="24">
        <f t="shared" si="45"/>
        <v>0</v>
      </c>
      <c r="AF49" s="24">
        <f t="shared" si="46"/>
        <v>0</v>
      </c>
      <c r="AG49" s="59">
        <f t="shared" si="49"/>
        <v>0</v>
      </c>
      <c r="AH49" s="93">
        <f t="shared" si="47"/>
        <v>0</v>
      </c>
    </row>
    <row r="50" spans="1:34">
      <c r="A50" s="424" t="s">
        <v>451</v>
      </c>
      <c r="B50" s="425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  <c r="N50" s="24">
        <v>-13408.097259245656</v>
      </c>
      <c r="O50" s="24">
        <v>-1979.4997400000002</v>
      </c>
      <c r="P50" s="24">
        <v>-2846.2071441835888</v>
      </c>
      <c r="Q50" s="66">
        <f t="shared" si="48"/>
        <v>0.43784163577793067</v>
      </c>
      <c r="R50" s="93">
        <f t="shared" si="43"/>
        <v>-866.70740418358855</v>
      </c>
      <c r="S50" s="24">
        <v>-3250.9697605494598</v>
      </c>
      <c r="T50" s="24">
        <v>-3658.3797271519998</v>
      </c>
      <c r="U50" s="59">
        <v>2.5685727338632929</v>
      </c>
      <c r="V50" s="93">
        <v>-2339.9697605494598</v>
      </c>
      <c r="W50" s="24">
        <v>-3158.8875203306025</v>
      </c>
      <c r="X50" s="24"/>
      <c r="Y50" s="59">
        <f>X50/W50-1</f>
        <v>-1</v>
      </c>
      <c r="Z50" s="93">
        <f t="shared" si="34"/>
        <v>3158.8875203306025</v>
      </c>
      <c r="AA50" s="24">
        <v>-5018.7402383655945</v>
      </c>
      <c r="AB50" s="24"/>
      <c r="AC50" s="59">
        <f>AB50/AA50-1</f>
        <v>-1</v>
      </c>
      <c r="AD50" s="93">
        <f t="shared" si="44"/>
        <v>5018.7402383655945</v>
      </c>
      <c r="AE50" s="24">
        <f t="shared" si="45"/>
        <v>-5230.4695005494596</v>
      </c>
      <c r="AF50" s="24">
        <f t="shared" si="46"/>
        <v>-6504.5868713355885</v>
      </c>
      <c r="AG50" s="59">
        <f t="shared" si="49"/>
        <v>0.24359522040082315</v>
      </c>
      <c r="AH50" s="93">
        <f t="shared" si="47"/>
        <v>-1274.117370786129</v>
      </c>
    </row>
    <row r="51" spans="1:34">
      <c r="A51" s="424" t="s">
        <v>452</v>
      </c>
      <c r="B51" s="426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  <c r="N51" s="342">
        <v>0</v>
      </c>
      <c r="O51" s="342">
        <v>0</v>
      </c>
      <c r="P51" s="342">
        <v>0</v>
      </c>
      <c r="Q51" s="343">
        <f t="shared" si="48"/>
        <v>0</v>
      </c>
      <c r="R51" s="344">
        <f t="shared" si="43"/>
        <v>0</v>
      </c>
      <c r="S51" s="342"/>
      <c r="T51" s="342"/>
      <c r="U51" s="77"/>
      <c r="V51" s="344"/>
      <c r="W51" s="342"/>
      <c r="X51" s="342"/>
      <c r="Y51" s="77"/>
      <c r="Z51" s="344"/>
      <c r="AA51" s="342"/>
      <c r="AB51" s="342"/>
      <c r="AC51" s="77"/>
      <c r="AD51" s="344"/>
      <c r="AE51" s="24">
        <f t="shared" si="45"/>
        <v>0</v>
      </c>
      <c r="AF51" s="24">
        <f t="shared" si="46"/>
        <v>0</v>
      </c>
      <c r="AG51" s="59">
        <f t="shared" ref="AG51" si="50">IFERROR(AF51/AE51-1,0)</f>
        <v>0</v>
      </c>
      <c r="AH51" s="93">
        <f t="shared" ref="AH51" si="51">AF51-AE51</f>
        <v>0</v>
      </c>
    </row>
    <row r="52" spans="1:34" ht="15.75" thickBot="1">
      <c r="A52" s="427"/>
      <c r="B52" s="428" t="s">
        <v>453</v>
      </c>
      <c r="C52" s="388">
        <f>C44-SUM(C45:C51)</f>
        <v>78723</v>
      </c>
      <c r="D52" s="388">
        <f>D44-SUM(D45:D51)</f>
        <v>80544.357089236029</v>
      </c>
      <c r="E52" s="388">
        <f t="shared" ref="E52:G52" si="52">E44-SUM(E45:E51)</f>
        <v>94617.149773757468</v>
      </c>
      <c r="F52" s="388">
        <f>F44-SUM(F45:F51)</f>
        <v>101561.89191249703</v>
      </c>
      <c r="G52" s="388">
        <f t="shared" si="52"/>
        <v>84056.964548076503</v>
      </c>
      <c r="H52" s="388">
        <f>H44-SUM(H45:H51)</f>
        <v>46331.677970303972</v>
      </c>
      <c r="I52" s="388">
        <f t="shared" ref="I52:L52" si="53">I44-SUM(I45:I51)</f>
        <v>22014.294035117142</v>
      </c>
      <c r="J52" s="388">
        <f t="shared" si="53"/>
        <v>7990.9613684409251</v>
      </c>
      <c r="K52" s="388">
        <f t="shared" si="53"/>
        <v>15173.008459606499</v>
      </c>
      <c r="L52" s="388">
        <f t="shared" si="53"/>
        <v>6005</v>
      </c>
      <c r="M52" s="390">
        <v>63180.4082839658</v>
      </c>
      <c r="N52" s="390">
        <v>82414.955259392445</v>
      </c>
      <c r="O52" s="96">
        <f>O44-O45-O50</f>
        <v>8594.3304582508863</v>
      </c>
      <c r="P52" s="96">
        <f>P44-P45-P50</f>
        <v>9474.353563490502</v>
      </c>
      <c r="Q52" s="65">
        <f>P52/O52-1</f>
        <v>0.1023957723658111</v>
      </c>
      <c r="R52" s="95">
        <f>P52-O52</f>
        <v>880.02310523961569</v>
      </c>
      <c r="S52" s="96">
        <v>23048.043839999998</v>
      </c>
      <c r="T52" s="96">
        <f t="shared" ref="T52" si="54">T44-T45-T50</f>
        <v>23466.914582847996</v>
      </c>
      <c r="U52" s="65">
        <f>T52/S52-1</f>
        <v>1.8173808838433558E-2</v>
      </c>
      <c r="V52" s="95">
        <f>T52-S52</f>
        <v>418.87074284799746</v>
      </c>
      <c r="W52" s="96">
        <v>19205.584824363817</v>
      </c>
      <c r="X52" s="96"/>
      <c r="Y52" s="65">
        <f>X52/W52-1</f>
        <v>-1</v>
      </c>
      <c r="Z52" s="95">
        <f>X52-W52</f>
        <v>-19205.584824363817</v>
      </c>
      <c r="AA52" s="96">
        <v>78666.996136777743</v>
      </c>
      <c r="AB52" s="96"/>
      <c r="AC52" s="65">
        <f>AB52/AA52-1</f>
        <v>-1</v>
      </c>
      <c r="AD52" s="95">
        <f>AB52-AA52</f>
        <v>-78666.996136777743</v>
      </c>
      <c r="AE52" s="96">
        <f t="shared" ref="AE52:AF52" si="55">AE44-AE45-AE50</f>
        <v>31643.48524770145</v>
      </c>
      <c r="AF52" s="96">
        <f t="shared" si="55"/>
        <v>32941.268146338545</v>
      </c>
      <c r="AG52" s="65">
        <f>AF52/AE52-1</f>
        <v>4.1012640942620804E-2</v>
      </c>
      <c r="AH52" s="95">
        <f>AF52-AE52</f>
        <v>1297.7828986370951</v>
      </c>
    </row>
    <row r="53" spans="1:34">
      <c r="A53" s="419"/>
      <c r="B53" s="419" t="s">
        <v>454</v>
      </c>
      <c r="C53" s="9">
        <f>C52/C8</f>
        <v>0.30043506468724956</v>
      </c>
      <c r="D53" s="9">
        <f t="shared" ref="D53:L53" si="56">D52/D8</f>
        <v>0.25756462483513887</v>
      </c>
      <c r="E53" s="9">
        <f t="shared" si="56"/>
        <v>0.21816477182557248</v>
      </c>
      <c r="F53" s="9">
        <f t="shared" si="56"/>
        <v>0.24565502006975018</v>
      </c>
      <c r="G53" s="9">
        <f t="shared" si="56"/>
        <v>0.21157424003965966</v>
      </c>
      <c r="H53" s="9">
        <f t="shared" si="56"/>
        <v>0.12838777434269893</v>
      </c>
      <c r="I53" s="9">
        <f t="shared" si="56"/>
        <v>6.4733453801847654E-2</v>
      </c>
      <c r="J53" s="9">
        <f t="shared" si="56"/>
        <v>2.6140207184488555E-2</v>
      </c>
      <c r="K53" s="9">
        <f t="shared" si="56"/>
        <v>4.7981491790271676E-2</v>
      </c>
      <c r="L53" s="9">
        <f t="shared" si="56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5">
        <f>(P53-O53)*100</f>
        <v>1.114564584066613</v>
      </c>
      <c r="S53" s="9">
        <v>0.2422056120808331</v>
      </c>
      <c r="T53" s="9">
        <f>T52/T8</f>
        <v>0.26863657437897004</v>
      </c>
      <c r="U53" s="9"/>
      <c r="V53" s="55">
        <v>1.2874234866222245</v>
      </c>
      <c r="W53" s="9">
        <v>0.23095849757520584</v>
      </c>
      <c r="X53" s="9"/>
      <c r="Y53" s="9"/>
      <c r="Z53" s="55">
        <f>(X53-W53)*100</f>
        <v>-23.095849757520583</v>
      </c>
      <c r="AA53" s="9">
        <v>0.71099122295159078</v>
      </c>
      <c r="AB53" s="9"/>
      <c r="AC53" s="9"/>
      <c r="AD53" s="55">
        <f>(AB53-AA53)*100</f>
        <v>-71.099122295159077</v>
      </c>
      <c r="AE53" s="9">
        <f>AE52/AE8</f>
        <v>0.20099757711809546</v>
      </c>
      <c r="AF53" s="9">
        <f>AF52/AF8</f>
        <v>0.21833567896153885</v>
      </c>
      <c r="AG53" s="9"/>
      <c r="AH53" s="55">
        <f>(AF53-AE53)*100</f>
        <v>1.7338101843443394</v>
      </c>
    </row>
    <row r="54" spans="1:34">
      <c r="T54" s="345"/>
      <c r="X54" s="345"/>
      <c r="AB54" s="345"/>
    </row>
    <row r="55" spans="1:34">
      <c r="T55" s="345"/>
      <c r="X55" s="345"/>
      <c r="AB55" s="345"/>
    </row>
    <row r="56" spans="1:34">
      <c r="T56" s="345"/>
      <c r="X56" s="345"/>
      <c r="AB56" s="345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5703125" customWidth="1"/>
    <col min="2" max="2" width="1.5703125" customWidth="1"/>
    <col min="3" max="3" width="10.5703125" bestFit="1" customWidth="1"/>
    <col min="4" max="4" width="1.42578125" customWidth="1"/>
    <col min="5" max="5" width="10.85546875" customWidth="1"/>
    <col min="6" max="6" width="1.5703125" customWidth="1"/>
    <col min="7" max="7" width="10.5703125" bestFit="1" customWidth="1"/>
    <col min="8" max="8" width="1.140625" customWidth="1"/>
    <col min="9" max="9" width="9.85546875" bestFit="1" customWidth="1"/>
    <col min="10" max="10" width="9.140625" hidden="1" customWidth="1"/>
    <col min="11" max="11" width="9.5703125" hidden="1" customWidth="1"/>
    <col min="12" max="12" width="11.140625" hidden="1" customWidth="1"/>
    <col min="13" max="13" width="13.140625" hidden="1" customWidth="1"/>
    <col min="14" max="14" width="15.5703125" hidden="1" customWidth="1"/>
    <col min="15" max="15" width="9.5703125" hidden="1" customWidth="1"/>
    <col min="16" max="17" width="9.140625" hidden="1" customWidth="1"/>
    <col min="18" max="18" width="9.85546875" hidden="1" customWidth="1"/>
    <col min="19" max="20" width="0" hidden="1" customWidth="1"/>
  </cols>
  <sheetData>
    <row r="1" spans="1:17">
      <c r="A1" t="s">
        <v>314</v>
      </c>
      <c r="L1" t="s">
        <v>315</v>
      </c>
    </row>
    <row r="2" spans="1:17">
      <c r="N2" t="s">
        <v>316</v>
      </c>
      <c r="O2" t="s">
        <v>317</v>
      </c>
      <c r="P2" t="s">
        <v>255</v>
      </c>
    </row>
    <row r="3" spans="1:17" ht="15.75" thickBot="1">
      <c r="A3" s="237"/>
      <c r="B3" s="238"/>
      <c r="C3" s="409" t="s">
        <v>263</v>
      </c>
      <c r="D3" s="409"/>
      <c r="E3" s="409"/>
      <c r="F3" s="238"/>
      <c r="G3" s="410" t="s">
        <v>264</v>
      </c>
      <c r="H3" s="410"/>
      <c r="I3" s="410"/>
      <c r="L3" t="s">
        <v>318</v>
      </c>
      <c r="N3" s="239">
        <v>-6461</v>
      </c>
      <c r="O3" s="240">
        <v>-11194</v>
      </c>
      <c r="P3" s="239">
        <v>-326</v>
      </c>
    </row>
    <row r="4" spans="1:17" ht="15.75" thickBot="1">
      <c r="A4" s="237"/>
      <c r="B4" s="238"/>
      <c r="C4" s="238"/>
      <c r="D4" s="241"/>
      <c r="E4" s="242"/>
      <c r="F4" s="238"/>
      <c r="G4" s="237"/>
      <c r="H4" s="241"/>
      <c r="I4" s="243"/>
      <c r="L4" t="s">
        <v>319</v>
      </c>
      <c r="N4" s="239">
        <v>-6461</v>
      </c>
      <c r="O4" s="240">
        <v>-11194</v>
      </c>
      <c r="P4" s="239">
        <v>-326</v>
      </c>
    </row>
    <row r="5" spans="1:17" ht="15.75" thickBot="1">
      <c r="A5" s="237"/>
      <c r="B5" s="238"/>
      <c r="C5" s="244">
        <v>2014</v>
      </c>
      <c r="D5" s="238"/>
      <c r="E5" s="244">
        <v>2013</v>
      </c>
      <c r="F5" s="238"/>
      <c r="G5" s="244">
        <v>2014</v>
      </c>
      <c r="H5" s="238"/>
      <c r="I5" s="244">
        <v>2013</v>
      </c>
      <c r="L5" t="s">
        <v>320</v>
      </c>
      <c r="M5" t="s">
        <v>321</v>
      </c>
      <c r="N5" s="86">
        <v>5913</v>
      </c>
      <c r="O5" s="86"/>
    </row>
    <row r="6" spans="1:17">
      <c r="A6" s="237"/>
      <c r="B6" s="238"/>
      <c r="C6" s="238"/>
      <c r="D6" s="238"/>
      <c r="E6" s="238"/>
      <c r="F6" s="238"/>
      <c r="G6" s="237"/>
      <c r="H6" s="238"/>
      <c r="I6" s="237"/>
      <c r="M6" s="245" t="s">
        <v>322</v>
      </c>
      <c r="N6" s="246">
        <f>368+79</f>
        <v>447</v>
      </c>
      <c r="O6" s="86" t="s">
        <v>323</v>
      </c>
    </row>
    <row r="7" spans="1:17">
      <c r="A7" s="247" t="s">
        <v>8</v>
      </c>
      <c r="B7" s="238"/>
      <c r="C7" s="238"/>
      <c r="D7" s="238"/>
      <c r="E7" s="238"/>
      <c r="F7" s="238"/>
      <c r="G7" s="237"/>
      <c r="H7" s="238"/>
      <c r="I7" s="237"/>
      <c r="M7" t="s">
        <v>324</v>
      </c>
      <c r="N7" s="86">
        <v>210</v>
      </c>
      <c r="O7" s="86"/>
    </row>
    <row r="8" spans="1:17">
      <c r="A8" s="248" t="s">
        <v>9</v>
      </c>
      <c r="B8" s="238"/>
      <c r="C8" s="249">
        <v>-5403</v>
      </c>
      <c r="D8" s="249"/>
      <c r="E8" s="250">
        <v>-7721</v>
      </c>
      <c r="F8" s="249"/>
      <c r="G8" s="249">
        <v>-3984</v>
      </c>
      <c r="H8" s="249"/>
      <c r="I8" s="250">
        <v>-4678</v>
      </c>
      <c r="M8" t="s">
        <v>325</v>
      </c>
      <c r="N8" s="86"/>
      <c r="O8" s="86"/>
    </row>
    <row r="9" spans="1:17">
      <c r="A9" s="237"/>
      <c r="B9" s="238"/>
      <c r="C9" s="249"/>
      <c r="D9" s="249"/>
      <c r="E9" s="249"/>
      <c r="F9" s="249"/>
      <c r="G9" s="249"/>
      <c r="H9" s="249"/>
      <c r="I9" s="249"/>
      <c r="M9" t="s">
        <v>76</v>
      </c>
      <c r="N9" s="86">
        <f>299-211</f>
        <v>88</v>
      </c>
      <c r="O9" s="86"/>
      <c r="P9" s="239">
        <f>P16+N5+N7+N9</f>
        <v>-39</v>
      </c>
    </row>
    <row r="10" spans="1:17">
      <c r="A10" s="247" t="s">
        <v>10</v>
      </c>
      <c r="B10" s="238"/>
      <c r="C10" s="249"/>
      <c r="D10" s="249"/>
      <c r="E10" s="249"/>
      <c r="F10" s="249"/>
      <c r="G10" s="249"/>
      <c r="H10" s="249"/>
      <c r="I10" s="249"/>
      <c r="N10" s="86">
        <f>SUM(N5:N9)</f>
        <v>6658</v>
      </c>
      <c r="O10" s="86"/>
      <c r="P10" s="239">
        <f>N4+N5+N7</f>
        <v>-338</v>
      </c>
      <c r="Q10" t="s">
        <v>326</v>
      </c>
    </row>
    <row r="11" spans="1:17">
      <c r="A11" s="248" t="s">
        <v>11</v>
      </c>
      <c r="B11" s="238"/>
      <c r="C11" s="249"/>
      <c r="D11" s="249"/>
      <c r="E11" s="249"/>
      <c r="F11" s="249"/>
      <c r="G11" s="249">
        <v>3006</v>
      </c>
      <c r="H11" s="249"/>
      <c r="I11" s="251">
        <v>1670</v>
      </c>
      <c r="J11" s="235" t="s">
        <v>327</v>
      </c>
      <c r="M11" t="s">
        <v>328</v>
      </c>
      <c r="N11" t="s">
        <v>329</v>
      </c>
      <c r="O11">
        <v>5838</v>
      </c>
    </row>
    <row r="12" spans="1:17">
      <c r="A12" s="248" t="s">
        <v>330</v>
      </c>
      <c r="B12" s="238"/>
      <c r="C12" s="249"/>
      <c r="D12" s="249"/>
      <c r="E12" s="249"/>
      <c r="F12" s="249"/>
      <c r="G12" s="249">
        <v>940</v>
      </c>
      <c r="H12" s="249"/>
      <c r="I12" s="252">
        <v>732</v>
      </c>
      <c r="M12" s="245" t="s">
        <v>331</v>
      </c>
      <c r="N12" s="245"/>
    </row>
    <row r="13" spans="1:17">
      <c r="A13" s="248" t="s">
        <v>12</v>
      </c>
      <c r="B13" s="238"/>
      <c r="C13" s="249"/>
      <c r="D13" s="249"/>
      <c r="E13" s="249"/>
      <c r="F13" s="249"/>
      <c r="G13" s="249">
        <v>-874</v>
      </c>
      <c r="H13" s="249"/>
      <c r="I13" s="252">
        <v>602</v>
      </c>
      <c r="M13" s="245" t="s">
        <v>332</v>
      </c>
      <c r="N13" s="245">
        <v>180</v>
      </c>
    </row>
    <row r="14" spans="1:17">
      <c r="A14" s="248" t="s">
        <v>44</v>
      </c>
      <c r="B14" s="238"/>
      <c r="C14" s="249"/>
      <c r="D14" s="249"/>
      <c r="E14" s="249"/>
      <c r="F14" s="249"/>
      <c r="G14" s="249">
        <v>971</v>
      </c>
      <c r="H14" s="249"/>
      <c r="I14" s="251">
        <v>1350</v>
      </c>
      <c r="M14" s="245" t="s">
        <v>333</v>
      </c>
      <c r="N14" s="245">
        <v>28</v>
      </c>
    </row>
    <row r="15" spans="1:17">
      <c r="A15" s="237" t="s">
        <v>13</v>
      </c>
      <c r="B15" s="238"/>
      <c r="C15" s="249"/>
      <c r="D15" s="249"/>
      <c r="E15" s="249"/>
      <c r="F15" s="249"/>
      <c r="G15" s="249">
        <v>-175</v>
      </c>
      <c r="H15" s="249"/>
      <c r="I15" s="252">
        <v>54</v>
      </c>
      <c r="M15" s="245" t="s">
        <v>334</v>
      </c>
      <c r="N15" s="245">
        <v>3</v>
      </c>
    </row>
    <row r="16" spans="1:17">
      <c r="A16" s="253" t="s">
        <v>335</v>
      </c>
      <c r="B16" s="238"/>
      <c r="C16" s="249"/>
      <c r="D16" s="249"/>
      <c r="E16" s="249"/>
      <c r="F16" s="249"/>
      <c r="G16" s="249"/>
      <c r="H16" s="249"/>
      <c r="I16" s="252"/>
      <c r="M16" s="245"/>
      <c r="N16" s="245">
        <f>SUM(N13:N15)</f>
        <v>211</v>
      </c>
      <c r="P16" s="239">
        <f>N4+N16</f>
        <v>-6250</v>
      </c>
    </row>
    <row r="17" spans="1:16">
      <c r="A17" s="248" t="s">
        <v>336</v>
      </c>
      <c r="B17" s="238"/>
      <c r="C17" s="249">
        <v>5189</v>
      </c>
      <c r="D17" s="249"/>
      <c r="E17" s="250">
        <v>7607</v>
      </c>
      <c r="F17" s="249"/>
      <c r="G17" s="249"/>
      <c r="H17" s="249"/>
      <c r="I17" s="252"/>
    </row>
    <row r="18" spans="1:16">
      <c r="A18" s="248" t="s">
        <v>14</v>
      </c>
      <c r="B18" s="238"/>
      <c r="C18" s="249"/>
      <c r="D18" s="249"/>
      <c r="E18" s="250"/>
      <c r="F18" s="249"/>
      <c r="G18" s="249">
        <v>5699</v>
      </c>
      <c r="H18" s="249"/>
      <c r="I18" s="251">
        <v>1138</v>
      </c>
      <c r="M18" t="s">
        <v>337</v>
      </c>
      <c r="N18">
        <v>-712</v>
      </c>
    </row>
    <row r="19" spans="1:16">
      <c r="A19" s="248" t="s">
        <v>338</v>
      </c>
      <c r="B19" s="238"/>
      <c r="C19" s="249"/>
      <c r="D19" s="249"/>
      <c r="E19" s="250"/>
      <c r="F19" s="249"/>
      <c r="G19" s="249">
        <v>1897</v>
      </c>
      <c r="H19" s="249"/>
      <c r="I19" s="217"/>
    </row>
    <row r="20" spans="1:16">
      <c r="A20" s="248" t="s">
        <v>15</v>
      </c>
      <c r="B20" s="238"/>
      <c r="C20" s="249"/>
      <c r="D20" s="249"/>
      <c r="E20" s="249"/>
      <c r="F20" s="249"/>
      <c r="G20" s="249">
        <v>1170</v>
      </c>
      <c r="H20" s="249"/>
      <c r="I20" s="254">
        <v>1353</v>
      </c>
      <c r="M20" t="s">
        <v>339</v>
      </c>
      <c r="N20">
        <v>3857</v>
      </c>
    </row>
    <row r="21" spans="1:16">
      <c r="A21" s="248" t="s">
        <v>16</v>
      </c>
      <c r="B21" s="238"/>
      <c r="C21" s="249"/>
      <c r="D21" s="249"/>
      <c r="E21" s="249">
        <v>1</v>
      </c>
      <c r="F21" s="249"/>
      <c r="G21" s="249">
        <v>5</v>
      </c>
      <c r="H21" s="249"/>
      <c r="I21" s="255">
        <v>71</v>
      </c>
      <c r="J21" s="235" t="s">
        <v>340</v>
      </c>
      <c r="M21" t="s">
        <v>341</v>
      </c>
      <c r="N21">
        <f>130810+22726</f>
        <v>153536</v>
      </c>
    </row>
    <row r="22" spans="1:16">
      <c r="A22" s="237"/>
      <c r="B22" s="238"/>
      <c r="C22" s="249">
        <f>SUM(C8:C21)</f>
        <v>-214</v>
      </c>
      <c r="D22" s="249"/>
      <c r="E22" s="249">
        <f>SUM(E8:E21)</f>
        <v>-113</v>
      </c>
      <c r="F22" s="249"/>
      <c r="G22" s="249">
        <f>SUM(G8:G21)</f>
        <v>8655</v>
      </c>
      <c r="H22" s="249"/>
      <c r="I22" s="249">
        <f>SUM(I8:I21)</f>
        <v>2292</v>
      </c>
      <c r="M22" t="s">
        <v>342</v>
      </c>
      <c r="N22">
        <f>14259+1043</f>
        <v>15302</v>
      </c>
    </row>
    <row r="23" spans="1:16">
      <c r="A23" s="237"/>
      <c r="B23" s="238"/>
      <c r="C23" s="249"/>
      <c r="D23" s="249"/>
      <c r="E23" s="249"/>
      <c r="F23" s="249"/>
      <c r="G23" s="249"/>
      <c r="H23" s="249"/>
      <c r="I23" s="249"/>
      <c r="M23" t="s">
        <v>343</v>
      </c>
      <c r="N23">
        <v>-5426</v>
      </c>
    </row>
    <row r="24" spans="1:16">
      <c r="A24" s="237"/>
      <c r="B24" s="238"/>
      <c r="C24" s="249"/>
      <c r="D24" s="249"/>
      <c r="E24" s="249"/>
      <c r="F24" s="249"/>
      <c r="G24" s="249"/>
      <c r="H24" s="249"/>
      <c r="I24" s="249"/>
      <c r="K24">
        <v>8171</v>
      </c>
      <c r="L24" t="s">
        <v>344</v>
      </c>
      <c r="M24" t="s">
        <v>345</v>
      </c>
      <c r="N24">
        <v>-755</v>
      </c>
    </row>
    <row r="25" spans="1:16">
      <c r="A25" s="247" t="s">
        <v>17</v>
      </c>
      <c r="B25" s="238"/>
      <c r="C25" s="249"/>
      <c r="D25" s="249"/>
      <c r="E25" s="249"/>
      <c r="F25" s="249"/>
      <c r="G25" s="249"/>
      <c r="H25" s="249"/>
      <c r="I25" s="249"/>
      <c r="K25" t="s">
        <v>346</v>
      </c>
      <c r="M25" t="s">
        <v>347</v>
      </c>
      <c r="N25">
        <v>-2464</v>
      </c>
    </row>
    <row r="26" spans="1:16">
      <c r="A26" s="248" t="s">
        <v>348</v>
      </c>
      <c r="B26" s="238"/>
      <c r="C26" s="249">
        <v>0</v>
      </c>
      <c r="D26" s="249"/>
      <c r="E26" s="249"/>
      <c r="F26" s="249"/>
      <c r="G26" s="249">
        <v>42846</v>
      </c>
      <c r="H26" s="249"/>
      <c r="I26" s="256">
        <v>15554</v>
      </c>
      <c r="J26" s="54"/>
      <c r="K26" s="86">
        <v>-27574</v>
      </c>
      <c r="L26" s="239">
        <v>15554</v>
      </c>
      <c r="M26" t="s">
        <v>76</v>
      </c>
      <c r="O26" t="s">
        <v>349</v>
      </c>
      <c r="P26" t="s">
        <v>350</v>
      </c>
    </row>
    <row r="27" spans="1:16">
      <c r="A27" s="248" t="s">
        <v>18</v>
      </c>
      <c r="B27" s="238"/>
      <c r="C27" s="249">
        <v>0</v>
      </c>
      <c r="D27" s="249"/>
      <c r="E27" s="249"/>
      <c r="F27" s="249"/>
      <c r="G27" s="249">
        <v>-21961</v>
      </c>
      <c r="H27" s="249"/>
      <c r="I27" s="256">
        <v>-34112</v>
      </c>
      <c r="J27" s="54"/>
      <c r="K27" s="86">
        <v>-32816</v>
      </c>
      <c r="L27" s="239">
        <v>-34112</v>
      </c>
      <c r="M27" t="s">
        <v>351</v>
      </c>
      <c r="O27">
        <v>83</v>
      </c>
    </row>
    <row r="28" spans="1:16">
      <c r="A28" s="248" t="s">
        <v>19</v>
      </c>
      <c r="B28" s="238"/>
      <c r="C28" s="249">
        <v>-21</v>
      </c>
      <c r="D28" s="249"/>
      <c r="E28" s="257">
        <v>-50</v>
      </c>
      <c r="F28" s="249"/>
      <c r="G28" s="249">
        <v>-755</v>
      </c>
      <c r="H28" s="249"/>
      <c r="I28" s="257">
        <v>-876</v>
      </c>
      <c r="J28" s="54"/>
      <c r="K28" s="258">
        <v>-1294</v>
      </c>
      <c r="L28" s="239">
        <v>-876</v>
      </c>
      <c r="M28" t="s">
        <v>352</v>
      </c>
      <c r="O28">
        <f>630</f>
        <v>630</v>
      </c>
    </row>
    <row r="29" spans="1:16">
      <c r="A29" s="248" t="s">
        <v>52</v>
      </c>
      <c r="B29" s="238"/>
      <c r="C29" s="249">
        <v>248</v>
      </c>
      <c r="D29" s="249"/>
      <c r="E29" s="256">
        <v>-2019</v>
      </c>
      <c r="F29" s="249"/>
      <c r="G29" s="249">
        <v>-1753</v>
      </c>
      <c r="H29" s="249"/>
      <c r="I29" s="256">
        <v>-5569</v>
      </c>
      <c r="J29" s="54"/>
      <c r="K29" s="86">
        <v>-3440</v>
      </c>
      <c r="L29" s="239">
        <v>-5569</v>
      </c>
      <c r="M29" t="s">
        <v>96</v>
      </c>
      <c r="O29">
        <v>8</v>
      </c>
    </row>
    <row r="30" spans="1:16">
      <c r="A30" s="248" t="s">
        <v>20</v>
      </c>
      <c r="B30" s="238"/>
      <c r="C30" s="249">
        <v>35</v>
      </c>
      <c r="D30" s="249"/>
      <c r="E30" s="257">
        <v>-75</v>
      </c>
      <c r="F30" s="249"/>
      <c r="G30" s="249">
        <v>5542</v>
      </c>
      <c r="H30" s="249"/>
      <c r="I30" s="256">
        <v>1512</v>
      </c>
      <c r="J30" s="54"/>
      <c r="K30" s="86">
        <f>1639+451</f>
        <v>2090</v>
      </c>
      <c r="L30" s="239">
        <v>1512</v>
      </c>
      <c r="M30" t="s">
        <v>353</v>
      </c>
      <c r="O30">
        <v>31</v>
      </c>
    </row>
    <row r="31" spans="1:16">
      <c r="A31" s="248" t="s">
        <v>354</v>
      </c>
      <c r="B31" s="238"/>
      <c r="C31" s="249">
        <v>0</v>
      </c>
      <c r="D31" s="249"/>
      <c r="E31" s="257">
        <v>3</v>
      </c>
      <c r="F31" s="249"/>
      <c r="G31" s="249">
        <v>-1893</v>
      </c>
      <c r="H31" s="249"/>
      <c r="I31" s="256">
        <v>2318</v>
      </c>
      <c r="J31" s="54"/>
      <c r="K31" s="86">
        <v>1863</v>
      </c>
      <c r="L31" s="239">
        <v>2318</v>
      </c>
      <c r="M31" t="s">
        <v>129</v>
      </c>
      <c r="O31">
        <v>315</v>
      </c>
    </row>
    <row r="32" spans="1:16">
      <c r="A32" s="248" t="s">
        <v>21</v>
      </c>
      <c r="B32" s="238"/>
      <c r="C32" s="259">
        <v>0</v>
      </c>
      <c r="D32" s="260"/>
      <c r="E32" s="261">
        <v>3</v>
      </c>
      <c r="F32" s="260"/>
      <c r="G32" s="259">
        <v>-3024</v>
      </c>
      <c r="H32" s="260"/>
      <c r="I32" s="257">
        <v>-14</v>
      </c>
      <c r="J32" s="54"/>
      <c r="K32" s="258">
        <v>3318</v>
      </c>
      <c r="L32" s="239">
        <v>-14</v>
      </c>
      <c r="M32" t="s">
        <v>355</v>
      </c>
      <c r="O32">
        <f>-86-1982</f>
        <v>-2068</v>
      </c>
    </row>
    <row r="33" spans="1:16">
      <c r="A33" s="237"/>
      <c r="B33" s="238"/>
      <c r="C33" s="249">
        <f>SUM(C22:C32)</f>
        <v>48</v>
      </c>
      <c r="D33" s="238"/>
      <c r="E33" s="249">
        <f>SUM(E22:E32)</f>
        <v>-2251</v>
      </c>
      <c r="F33" s="238"/>
      <c r="G33" s="249">
        <f>SUM(G22:G32)</f>
        <v>27657</v>
      </c>
      <c r="H33" s="238"/>
      <c r="I33" s="249">
        <f>SUM(I22:I32)</f>
        <v>-18895</v>
      </c>
      <c r="M33" t="s">
        <v>356</v>
      </c>
      <c r="O33">
        <v>-192</v>
      </c>
    </row>
    <row r="34" spans="1:16" ht="15.75" thickBot="1">
      <c r="A34" s="237"/>
      <c r="B34" s="238"/>
      <c r="C34" s="262"/>
      <c r="D34" s="238"/>
      <c r="E34" s="262"/>
      <c r="F34" s="238"/>
      <c r="G34" s="262"/>
      <c r="H34" s="238"/>
      <c r="I34" s="262"/>
      <c r="M34" t="s">
        <v>357</v>
      </c>
      <c r="O34">
        <v>-428</v>
      </c>
    </row>
    <row r="35" spans="1:16">
      <c r="A35" s="237" t="s">
        <v>358</v>
      </c>
      <c r="B35" s="238"/>
      <c r="C35" s="249"/>
      <c r="D35" s="238"/>
      <c r="E35" s="249"/>
      <c r="F35" s="238"/>
      <c r="G35" s="249">
        <f>-615+615</f>
        <v>0</v>
      </c>
      <c r="H35" s="238"/>
      <c r="I35" s="249"/>
      <c r="M35" t="s">
        <v>129</v>
      </c>
      <c r="O35">
        <f>-211+211-315</f>
        <v>-315</v>
      </c>
    </row>
    <row r="36" spans="1:16">
      <c r="A36" s="248" t="s">
        <v>22</v>
      </c>
      <c r="B36" s="238"/>
      <c r="C36" s="249"/>
      <c r="D36" s="238"/>
      <c r="E36" s="249"/>
      <c r="F36" s="249"/>
      <c r="G36" s="249">
        <v>-218</v>
      </c>
      <c r="H36" s="249"/>
      <c r="I36" s="249"/>
      <c r="L36" s="235"/>
      <c r="M36" t="s">
        <v>359</v>
      </c>
      <c r="O36">
        <v>-51</v>
      </c>
    </row>
    <row r="37" spans="1:16" ht="15.75" thickBot="1">
      <c r="A37" s="248" t="s">
        <v>23</v>
      </c>
      <c r="B37" s="238"/>
      <c r="C37" s="262"/>
      <c r="D37" s="238"/>
      <c r="E37" s="262"/>
      <c r="F37" s="262"/>
      <c r="G37" s="263"/>
      <c r="H37" s="262"/>
      <c r="I37" s="262">
        <v>-921</v>
      </c>
      <c r="J37" t="s">
        <v>360</v>
      </c>
      <c r="L37" s="258"/>
    </row>
    <row r="38" spans="1:16">
      <c r="A38" s="237"/>
      <c r="B38" s="238"/>
      <c r="C38" s="249"/>
      <c r="D38" s="238"/>
      <c r="E38" s="249"/>
      <c r="F38" s="238"/>
      <c r="G38" s="264"/>
      <c r="H38" s="238"/>
      <c r="I38" s="249"/>
    </row>
    <row r="39" spans="1:16" ht="15.75" thickBot="1">
      <c r="A39" s="247" t="s">
        <v>361</v>
      </c>
      <c r="B39" s="238"/>
      <c r="C39" s="262">
        <f>SUM(C33:C37)</f>
        <v>48</v>
      </c>
      <c r="D39" s="238"/>
      <c r="E39" s="262">
        <f>SUM(E33:E37)</f>
        <v>-2251</v>
      </c>
      <c r="F39" s="238"/>
      <c r="G39" s="262">
        <f>SUM(G33:G37)</f>
        <v>27439</v>
      </c>
      <c r="H39" s="238"/>
      <c r="I39" s="262">
        <f>SUM(I33:I37)</f>
        <v>-19816</v>
      </c>
    </row>
    <row r="40" spans="1:16">
      <c r="A40" s="237"/>
      <c r="B40" s="238"/>
      <c r="C40" s="249"/>
      <c r="D40" s="238"/>
      <c r="E40" s="249"/>
      <c r="F40" s="238"/>
      <c r="G40" s="249"/>
      <c r="H40" s="238"/>
      <c r="I40" s="249"/>
    </row>
    <row r="41" spans="1:16">
      <c r="A41" s="247" t="s">
        <v>24</v>
      </c>
      <c r="B41" s="238"/>
      <c r="C41" s="249"/>
      <c r="D41" s="238"/>
      <c r="E41" s="249"/>
      <c r="F41" s="238"/>
      <c r="G41" s="249"/>
      <c r="H41" s="238"/>
      <c r="I41" s="249"/>
      <c r="M41" s="245"/>
    </row>
    <row r="42" spans="1:16">
      <c r="A42" s="248" t="s">
        <v>362</v>
      </c>
      <c r="B42" s="238"/>
      <c r="C42" s="249"/>
      <c r="D42" s="249"/>
      <c r="E42" s="265"/>
      <c r="F42" s="249"/>
      <c r="G42" s="249"/>
      <c r="H42" s="249"/>
      <c r="I42" s="217"/>
      <c r="K42" t="s">
        <v>363</v>
      </c>
      <c r="M42" s="246"/>
      <c r="N42" s="86" t="s">
        <v>72</v>
      </c>
      <c r="O42" s="52" t="s">
        <v>74</v>
      </c>
    </row>
    <row r="43" spans="1:16">
      <c r="A43" s="248" t="s">
        <v>364</v>
      </c>
      <c r="B43" s="238"/>
      <c r="C43" s="249"/>
      <c r="D43" s="249"/>
      <c r="E43" s="265"/>
      <c r="F43" s="249"/>
      <c r="G43" s="249"/>
      <c r="H43" s="249"/>
      <c r="I43" s="251">
        <v>-146084</v>
      </c>
      <c r="K43" s="239">
        <v>11023</v>
      </c>
      <c r="M43" t="s">
        <v>365</v>
      </c>
      <c r="N43">
        <v>12507</v>
      </c>
      <c r="O43">
        <v>1752</v>
      </c>
      <c r="P43">
        <f>SUM(N43:O43)</f>
        <v>14259</v>
      </c>
    </row>
    <row r="44" spans="1:16">
      <c r="A44" s="248" t="s">
        <v>366</v>
      </c>
      <c r="B44" s="238"/>
      <c r="C44" s="249"/>
      <c r="D44" s="249"/>
      <c r="E44" s="265"/>
      <c r="F44" s="249"/>
      <c r="G44" s="249"/>
      <c r="H44" s="249"/>
      <c r="I44" s="252">
        <v>942</v>
      </c>
      <c r="M44" t="s">
        <v>367</v>
      </c>
      <c r="N44">
        <v>870</v>
      </c>
      <c r="O44">
        <v>173</v>
      </c>
      <c r="P44">
        <f>SUM(N44:O44)</f>
        <v>1043</v>
      </c>
    </row>
    <row r="45" spans="1:16">
      <c r="A45" s="248" t="s">
        <v>368</v>
      </c>
      <c r="B45" s="238"/>
      <c r="C45" s="249"/>
      <c r="D45" s="249"/>
      <c r="E45" s="265"/>
      <c r="F45" s="249"/>
      <c r="G45" s="249"/>
      <c r="H45" s="249"/>
      <c r="I45" s="249"/>
    </row>
    <row r="46" spans="1:16">
      <c r="A46" s="248" t="s">
        <v>369</v>
      </c>
      <c r="B46" s="238"/>
      <c r="C46" s="249"/>
      <c r="D46" s="249"/>
      <c r="E46" s="249"/>
      <c r="F46" s="249"/>
      <c r="G46" s="249"/>
      <c r="H46" s="249"/>
      <c r="I46" s="249"/>
      <c r="M46" t="s">
        <v>370</v>
      </c>
    </row>
    <row r="47" spans="1:16">
      <c r="A47" s="248" t="s">
        <v>371</v>
      </c>
      <c r="B47" s="238"/>
      <c r="C47" s="249"/>
      <c r="D47" s="249"/>
      <c r="E47" s="249"/>
      <c r="F47" s="249"/>
      <c r="G47" s="249"/>
      <c r="H47" s="249"/>
      <c r="I47" s="249"/>
      <c r="M47" t="s">
        <v>372</v>
      </c>
      <c r="N47">
        <v>-76147</v>
      </c>
    </row>
    <row r="48" spans="1:16">
      <c r="A48" s="248" t="s">
        <v>373</v>
      </c>
      <c r="B48" s="238"/>
      <c r="C48" s="249"/>
      <c r="D48" s="249"/>
      <c r="E48" s="249"/>
      <c r="F48" s="249"/>
      <c r="G48" s="249">
        <v>867</v>
      </c>
      <c r="H48" s="249"/>
      <c r="I48" s="251">
        <v>-25040</v>
      </c>
      <c r="M48" t="s">
        <v>374</v>
      </c>
      <c r="N48">
        <v>-2747</v>
      </c>
    </row>
    <row r="49" spans="1:14">
      <c r="A49" s="248" t="s">
        <v>25</v>
      </c>
      <c r="B49" s="238"/>
      <c r="C49" s="249"/>
      <c r="D49" s="249"/>
      <c r="E49" s="249"/>
      <c r="F49" s="249"/>
      <c r="G49" s="249">
        <v>-782</v>
      </c>
      <c r="H49" s="249"/>
      <c r="I49" s="251">
        <v>-3163</v>
      </c>
      <c r="M49" t="s">
        <v>375</v>
      </c>
      <c r="N49">
        <v>9889</v>
      </c>
    </row>
    <row r="50" spans="1:14">
      <c r="A50" s="248" t="s">
        <v>376</v>
      </c>
      <c r="B50" s="238"/>
      <c r="C50" s="249"/>
      <c r="D50" s="249"/>
      <c r="E50" s="249"/>
      <c r="F50" s="249"/>
      <c r="G50" s="249">
        <v>395</v>
      </c>
      <c r="H50" s="249"/>
      <c r="I50" s="252">
        <v>163</v>
      </c>
      <c r="M50" t="s">
        <v>377</v>
      </c>
      <c r="N50">
        <v>-2618</v>
      </c>
    </row>
    <row r="51" spans="1:14">
      <c r="A51" s="248" t="s">
        <v>378</v>
      </c>
      <c r="B51" s="238"/>
      <c r="C51" s="249"/>
      <c r="D51" s="249"/>
      <c r="E51" s="249">
        <v>-15</v>
      </c>
      <c r="F51" s="249"/>
      <c r="G51" s="249">
        <v>-455</v>
      </c>
      <c r="H51" s="249"/>
      <c r="I51" s="251">
        <v>-1493</v>
      </c>
      <c r="M51" t="s">
        <v>379</v>
      </c>
      <c r="N51">
        <v>11023</v>
      </c>
    </row>
    <row r="52" spans="1:14" ht="15.75" thickBot="1">
      <c r="A52" s="248" t="s">
        <v>380</v>
      </c>
      <c r="B52" s="238"/>
      <c r="C52" s="240"/>
      <c r="D52" s="238"/>
      <c r="E52" s="266"/>
      <c r="F52" s="238"/>
      <c r="G52" s="267"/>
      <c r="H52" s="238"/>
      <c r="I52" s="267"/>
    </row>
    <row r="53" spans="1:14">
      <c r="A53" s="237"/>
      <c r="B53" s="238"/>
      <c r="C53" s="249"/>
      <c r="D53" s="238"/>
      <c r="E53" s="249"/>
      <c r="F53" s="238"/>
      <c r="G53" s="249"/>
      <c r="H53" s="238"/>
      <c r="I53" s="249"/>
      <c r="M53" t="s">
        <v>381</v>
      </c>
      <c r="N53">
        <f>N47+N49+N50+N51</f>
        <v>-57853</v>
      </c>
    </row>
    <row r="54" spans="1:14" ht="15.75" thickBot="1">
      <c r="A54" s="247" t="s">
        <v>382</v>
      </c>
      <c r="B54" s="238"/>
      <c r="C54" s="262">
        <f>SUM(C42:C52)</f>
        <v>0</v>
      </c>
      <c r="D54" s="238"/>
      <c r="E54" s="262">
        <f>SUM(E42:E52)</f>
        <v>-15</v>
      </c>
      <c r="F54" s="238"/>
      <c r="G54" s="262">
        <f>SUM(G42:G52)</f>
        <v>25</v>
      </c>
      <c r="H54" s="238"/>
      <c r="I54" s="262">
        <f>SUM(I42:I52)</f>
        <v>-174675</v>
      </c>
    </row>
    <row r="55" spans="1:14">
      <c r="A55" s="237"/>
      <c r="B55" s="238"/>
      <c r="C55" s="249"/>
      <c r="D55" s="238"/>
      <c r="E55" s="249"/>
      <c r="F55" s="238"/>
      <c r="G55" s="249"/>
      <c r="H55" s="238"/>
      <c r="I55" s="249"/>
    </row>
    <row r="56" spans="1:14" s="268" customFormat="1">
      <c r="A56" s="247" t="s">
        <v>26</v>
      </c>
      <c r="B56" s="238"/>
      <c r="C56" s="249"/>
      <c r="D56" s="238"/>
      <c r="E56" s="249"/>
      <c r="F56" s="238"/>
      <c r="G56" s="249"/>
      <c r="H56" s="238"/>
      <c r="I56" s="249"/>
      <c r="M56" s="268" t="s">
        <v>383</v>
      </c>
    </row>
    <row r="57" spans="1:14">
      <c r="A57" s="248" t="s">
        <v>384</v>
      </c>
      <c r="B57" s="238"/>
      <c r="C57" s="249">
        <v>1514</v>
      </c>
      <c r="D57" s="238"/>
      <c r="E57" s="249"/>
      <c r="F57" s="238"/>
      <c r="G57" s="249">
        <v>1514</v>
      </c>
      <c r="H57" s="238"/>
      <c r="I57" s="249"/>
      <c r="M57" s="86">
        <v>33984</v>
      </c>
    </row>
    <row r="58" spans="1:14">
      <c r="A58" s="248" t="s">
        <v>385</v>
      </c>
      <c r="B58" s="238"/>
      <c r="C58" s="249"/>
      <c r="D58" s="249"/>
      <c r="E58" s="249"/>
      <c r="F58" s="249"/>
      <c r="G58" s="249">
        <v>0</v>
      </c>
      <c r="H58" s="249"/>
      <c r="I58" s="269">
        <v>214379</v>
      </c>
    </row>
    <row r="59" spans="1:14">
      <c r="A59" s="248" t="s">
        <v>386</v>
      </c>
      <c r="B59" s="238"/>
      <c r="C59" s="249"/>
      <c r="D59" s="249"/>
      <c r="E59" s="249"/>
      <c r="F59" s="249"/>
      <c r="G59" s="249">
        <v>-23399</v>
      </c>
      <c r="H59" s="249"/>
      <c r="I59" s="269"/>
    </row>
    <row r="60" spans="1:14">
      <c r="A60" s="248" t="s">
        <v>387</v>
      </c>
      <c r="B60" s="238"/>
      <c r="C60" s="249"/>
      <c r="D60" s="249"/>
      <c r="E60" s="249"/>
      <c r="F60" s="249"/>
      <c r="G60" s="249"/>
      <c r="H60" s="249"/>
      <c r="I60" s="254"/>
      <c r="J60" s="235" t="s">
        <v>388</v>
      </c>
    </row>
    <row r="61" spans="1:14">
      <c r="A61" s="248" t="s">
        <v>27</v>
      </c>
      <c r="B61" s="238"/>
      <c r="C61" s="239"/>
      <c r="D61" s="249"/>
      <c r="E61" s="249"/>
      <c r="F61" s="249"/>
      <c r="G61" s="249"/>
      <c r="H61" s="249"/>
      <c r="I61" s="270"/>
    </row>
    <row r="62" spans="1:14" ht="15.75" thickBot="1">
      <c r="A62" s="237"/>
      <c r="B62" s="238"/>
      <c r="C62" s="262"/>
      <c r="D62" s="238"/>
      <c r="E62" s="262"/>
      <c r="F62" s="238"/>
      <c r="G62" s="262"/>
      <c r="H62" s="238"/>
      <c r="I62" s="271"/>
    </row>
    <row r="63" spans="1:14">
      <c r="A63" s="247" t="s">
        <v>389</v>
      </c>
      <c r="B63" s="238"/>
      <c r="C63" s="249">
        <f>SUM(C57:C62)</f>
        <v>1514</v>
      </c>
      <c r="D63" s="238"/>
      <c r="E63" s="249">
        <f>SUM(E57:E62)</f>
        <v>0</v>
      </c>
      <c r="F63" s="238"/>
      <c r="G63" s="249">
        <f>SUM(G57:G62)</f>
        <v>-21885</v>
      </c>
      <c r="H63" s="238"/>
      <c r="I63" s="249">
        <f>SUM(I57:I62)</f>
        <v>214379</v>
      </c>
    </row>
    <row r="64" spans="1:14" ht="15.75" thickBot="1">
      <c r="A64" s="237"/>
      <c r="B64" s="238"/>
      <c r="C64" s="262"/>
      <c r="D64" s="238"/>
      <c r="E64" s="262"/>
      <c r="F64" s="238"/>
      <c r="G64" s="262"/>
      <c r="H64" s="238"/>
      <c r="I64" s="262"/>
    </row>
    <row r="65" spans="1:18">
      <c r="A65" s="247" t="s">
        <v>28</v>
      </c>
      <c r="B65" s="238"/>
      <c r="C65" s="249">
        <f>C39+C54+C63</f>
        <v>1562</v>
      </c>
      <c r="D65" s="238"/>
      <c r="E65" s="249">
        <f>E39+E54+E63</f>
        <v>-2266</v>
      </c>
      <c r="F65" s="238"/>
      <c r="G65" s="249">
        <f>G39+G54+G63</f>
        <v>5579</v>
      </c>
      <c r="H65" s="238"/>
      <c r="I65" s="249">
        <f>I39+I54+I63</f>
        <v>19888</v>
      </c>
    </row>
    <row r="66" spans="1:18">
      <c r="A66" s="237"/>
      <c r="B66" s="238"/>
      <c r="C66" s="249"/>
      <c r="D66" s="238"/>
      <c r="E66" s="249"/>
      <c r="F66" s="238"/>
      <c r="G66" s="249"/>
      <c r="H66" s="238"/>
      <c r="I66" s="249"/>
    </row>
    <row r="67" spans="1:18" ht="15.75" thickBot="1">
      <c r="A67" s="247" t="s">
        <v>390</v>
      </c>
      <c r="B67" s="238"/>
      <c r="C67" s="262">
        <v>61</v>
      </c>
      <c r="D67" s="262"/>
      <c r="E67" s="262">
        <v>6347</v>
      </c>
      <c r="F67" s="262"/>
      <c r="G67" s="262">
        <v>46343</v>
      </c>
      <c r="H67" s="262"/>
      <c r="I67" s="262">
        <v>14664</v>
      </c>
    </row>
    <row r="68" spans="1:18">
      <c r="A68" s="237"/>
      <c r="B68" s="238"/>
      <c r="C68" s="249"/>
      <c r="D68" s="238"/>
      <c r="E68" s="249"/>
      <c r="F68" s="238"/>
      <c r="G68" s="249"/>
      <c r="H68" s="238"/>
      <c r="I68" s="249"/>
    </row>
    <row r="69" spans="1:18" ht="15.75" thickBot="1">
      <c r="A69" s="247" t="s">
        <v>391</v>
      </c>
      <c r="B69" s="238"/>
      <c r="C69" s="272">
        <f>SUM(C65:C67)</f>
        <v>1623</v>
      </c>
      <c r="D69" s="238"/>
      <c r="E69" s="272">
        <f>SUM(E65:E67)</f>
        <v>4081</v>
      </c>
      <c r="F69" s="238"/>
      <c r="G69" s="272">
        <f>SUM(G65:G67)</f>
        <v>51922</v>
      </c>
      <c r="H69" s="238"/>
      <c r="I69" s="272">
        <f>SUM(I65:I67)</f>
        <v>34552</v>
      </c>
    </row>
    <row r="70" spans="1:18" ht="15.75" thickTop="1">
      <c r="C70" s="86">
        <v>0</v>
      </c>
      <c r="G70" s="86">
        <v>0</v>
      </c>
    </row>
    <row r="71" spans="1:18">
      <c r="C71" s="239"/>
      <c r="G71" s="239">
        <f>G69-G70</f>
        <v>51922</v>
      </c>
    </row>
    <row r="72" spans="1:18">
      <c r="G72" s="52">
        <f>G70-11023</f>
        <v>-11023</v>
      </c>
    </row>
    <row r="73" spans="1:18">
      <c r="G73">
        <f>G71/2</f>
        <v>25961</v>
      </c>
    </row>
    <row r="77" spans="1:18">
      <c r="M77" t="s">
        <v>392</v>
      </c>
      <c r="N77" t="s">
        <v>393</v>
      </c>
      <c r="O77" t="s">
        <v>394</v>
      </c>
      <c r="P77" t="s">
        <v>395</v>
      </c>
      <c r="Q77" t="s">
        <v>396</v>
      </c>
      <c r="R77" t="s">
        <v>78</v>
      </c>
    </row>
    <row r="78" spans="1:18">
      <c r="M78" t="s">
        <v>397</v>
      </c>
      <c r="N78" s="86">
        <v>3163</v>
      </c>
      <c r="O78" s="86">
        <v>2717</v>
      </c>
      <c r="P78" s="86">
        <v>43</v>
      </c>
      <c r="Q78" s="86"/>
      <c r="R78" s="86">
        <f>SUM(N78:Q78)</f>
        <v>5923</v>
      </c>
    </row>
    <row r="79" spans="1:18">
      <c r="M79" t="s">
        <v>398</v>
      </c>
      <c r="N79" s="86">
        <v>1493</v>
      </c>
      <c r="O79" s="86">
        <v>232</v>
      </c>
      <c r="P79" s="86">
        <v>63</v>
      </c>
      <c r="Q79" s="86">
        <v>119</v>
      </c>
      <c r="R79" s="86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34" activePane="bottomRight" state="frozen"/>
      <selection activeCell="AM17" sqref="AM17"/>
      <selection pane="topRight" activeCell="AM17" sqref="AM17"/>
      <selection pane="bottomLeft" activeCell="AM17" sqref="AM17"/>
      <selection pane="bottomRight" activeCell="A2" sqref="A2:D67"/>
    </sheetView>
  </sheetViews>
  <sheetFormatPr defaultColWidth="9.140625" defaultRowHeight="12" outlineLevelCol="1"/>
  <cols>
    <col min="1" max="3" width="2.85546875" style="353" customWidth="1"/>
    <col min="4" max="4" width="53.85546875" style="353" bestFit="1" customWidth="1"/>
    <col min="5" max="6" width="11.85546875" style="354" customWidth="1" outlineLevel="1"/>
    <col min="7" max="7" width="10.42578125" style="355" customWidth="1" outlineLevel="1"/>
    <col min="8" max="8" width="13.140625" style="355" customWidth="1" outlineLevel="1"/>
    <col min="9" max="9" width="9.140625" style="354"/>
    <col min="10" max="10" width="11.5703125" style="354" bestFit="1" customWidth="1"/>
    <col min="11" max="16384" width="9.140625" style="354"/>
  </cols>
  <sheetData>
    <row r="1" spans="1:12" ht="90" customHeight="1" thickBot="1"/>
    <row r="2" spans="1:12" ht="12.75" thickBot="1">
      <c r="A2" s="329" t="s">
        <v>455</v>
      </c>
      <c r="B2" s="330"/>
      <c r="C2" s="330"/>
      <c r="D2" s="323"/>
      <c r="E2" s="2" t="s">
        <v>416</v>
      </c>
      <c r="F2" s="2" t="s">
        <v>415</v>
      </c>
      <c r="G2" s="2" t="s">
        <v>0</v>
      </c>
      <c r="H2" s="2" t="s">
        <v>1</v>
      </c>
    </row>
    <row r="3" spans="1:12" ht="15.75" customHeight="1">
      <c r="A3" s="331" t="s">
        <v>456</v>
      </c>
      <c r="B3" s="324"/>
      <c r="C3" s="3"/>
      <c r="D3" s="3"/>
      <c r="E3" s="53"/>
      <c r="F3" s="49"/>
      <c r="G3" s="69"/>
      <c r="H3" s="70"/>
    </row>
    <row r="4" spans="1:12" ht="15.75" customHeight="1">
      <c r="A4" s="332"/>
      <c r="B4" s="333" t="s">
        <v>457</v>
      </c>
      <c r="C4" s="333"/>
      <c r="D4" s="333"/>
      <c r="E4" s="50"/>
      <c r="F4" s="50"/>
      <c r="G4" s="82"/>
      <c r="H4" s="84"/>
    </row>
    <row r="5" spans="1:12" ht="15.75" customHeight="1">
      <c r="A5" s="332"/>
      <c r="B5" s="333"/>
      <c r="C5" s="333"/>
      <c r="D5" s="333" t="s">
        <v>458</v>
      </c>
      <c r="E5" s="17">
        <v>62556</v>
      </c>
      <c r="F5" s="17">
        <v>103002</v>
      </c>
      <c r="G5" s="59">
        <f>F5/E5-1</f>
        <v>0.64655668521005172</v>
      </c>
      <c r="H5" s="101">
        <f>F5-E5</f>
        <v>40446</v>
      </c>
      <c r="J5" s="356"/>
      <c r="K5" s="357"/>
      <c r="L5" s="357"/>
    </row>
    <row r="6" spans="1:12">
      <c r="A6" s="332"/>
      <c r="B6" s="333"/>
      <c r="C6" s="333"/>
      <c r="D6" s="333" t="s">
        <v>459</v>
      </c>
      <c r="E6" s="17">
        <v>8037</v>
      </c>
      <c r="F6" s="17">
        <v>8824</v>
      </c>
      <c r="G6" s="59">
        <f t="shared" ref="G6" si="0">F6/E6-1</f>
        <v>9.7922110240139304E-2</v>
      </c>
      <c r="H6" s="101">
        <f t="shared" ref="H6:H9" si="1">F6-E6</f>
        <v>787</v>
      </c>
      <c r="J6" s="356"/>
      <c r="K6" s="358"/>
    </row>
    <row r="7" spans="1:12" ht="15.75" customHeight="1">
      <c r="A7" s="332"/>
      <c r="B7" s="333"/>
      <c r="C7" s="333"/>
      <c r="D7" s="333" t="s">
        <v>460</v>
      </c>
      <c r="E7" s="13"/>
      <c r="F7" s="56">
        <v>0</v>
      </c>
      <c r="G7" s="59">
        <f>IFERROR(F7/E7-1,0)</f>
        <v>0</v>
      </c>
      <c r="H7" s="101">
        <f t="shared" si="1"/>
        <v>0</v>
      </c>
      <c r="J7" s="356"/>
      <c r="K7" s="358"/>
    </row>
    <row r="8" spans="1:12" ht="15.75" customHeight="1">
      <c r="A8" s="332"/>
      <c r="B8" s="333"/>
      <c r="C8" s="333"/>
      <c r="D8" s="333" t="s">
        <v>461</v>
      </c>
      <c r="E8" s="13">
        <v>140948</v>
      </c>
      <c r="F8" s="17">
        <v>134695</v>
      </c>
      <c r="G8" s="59">
        <f t="shared" ref="G8:G9" si="2">IFERROR(F8/E8-1,0)</f>
        <v>-4.4363878877316409E-2</v>
      </c>
      <c r="H8" s="101">
        <f t="shared" si="1"/>
        <v>-6253</v>
      </c>
      <c r="J8" s="356"/>
      <c r="K8" s="358"/>
    </row>
    <row r="9" spans="1:12">
      <c r="A9" s="332"/>
      <c r="B9" s="333"/>
      <c r="C9" s="333"/>
      <c r="D9" s="333" t="s">
        <v>462</v>
      </c>
      <c r="E9" s="17">
        <v>135136</v>
      </c>
      <c r="F9" s="17">
        <v>119330</v>
      </c>
      <c r="G9" s="59">
        <f t="shared" si="2"/>
        <v>-0.11696365143263088</v>
      </c>
      <c r="H9" s="101">
        <f t="shared" si="1"/>
        <v>-15806</v>
      </c>
      <c r="J9" s="356"/>
      <c r="K9" s="358"/>
    </row>
    <row r="10" spans="1:12">
      <c r="A10" s="332"/>
      <c r="B10" s="333"/>
      <c r="C10" s="333"/>
      <c r="D10" s="333" t="s">
        <v>463</v>
      </c>
      <c r="E10" s="17">
        <v>17937</v>
      </c>
      <c r="F10" s="17">
        <v>6451</v>
      </c>
      <c r="G10" s="59">
        <f>IFERROR(F10/E10-1,0)</f>
        <v>-0.64035234431621779</v>
      </c>
      <c r="H10" s="101">
        <f>F10-E10</f>
        <v>-11486</v>
      </c>
      <c r="J10" s="356"/>
      <c r="K10" s="358"/>
    </row>
    <row r="11" spans="1:12">
      <c r="A11" s="332"/>
      <c r="B11" s="333"/>
      <c r="C11" s="333"/>
      <c r="D11" s="333" t="s">
        <v>464</v>
      </c>
      <c r="E11" s="17">
        <v>28753</v>
      </c>
      <c r="F11" s="17">
        <v>18593</v>
      </c>
      <c r="G11" s="59">
        <f>IFERROR(F11/E11-1,0)</f>
        <v>-0.35335443258094812</v>
      </c>
      <c r="H11" s="101">
        <f>F11-E11</f>
        <v>-10160</v>
      </c>
      <c r="J11" s="356"/>
      <c r="K11" s="358"/>
    </row>
    <row r="12" spans="1:12">
      <c r="A12" s="332"/>
      <c r="B12" s="333"/>
      <c r="C12" s="333"/>
      <c r="D12" s="333" t="s">
        <v>465</v>
      </c>
      <c r="E12" s="17">
        <v>455</v>
      </c>
      <c r="F12" s="17">
        <v>317</v>
      </c>
      <c r="G12" s="59">
        <f>IFERROR(F12/E12-1,0)</f>
        <v>-0.30329670329670333</v>
      </c>
      <c r="H12" s="101">
        <f>F12-E12</f>
        <v>-138</v>
      </c>
      <c r="J12" s="356"/>
      <c r="K12" s="358"/>
    </row>
    <row r="13" spans="1:12">
      <c r="A13" s="332"/>
      <c r="B13" s="333"/>
      <c r="C13" s="333"/>
      <c r="D13" s="333" t="s">
        <v>466</v>
      </c>
      <c r="E13" s="17">
        <v>8759</v>
      </c>
      <c r="F13" s="17">
        <v>18098</v>
      </c>
      <c r="G13" s="59">
        <f>IFERROR(F13/E13-1,0)</f>
        <v>1.0662176047494007</v>
      </c>
      <c r="H13" s="101">
        <f>F13-E13</f>
        <v>9339</v>
      </c>
      <c r="J13" s="356"/>
      <c r="K13" s="358"/>
    </row>
    <row r="14" spans="1:12">
      <c r="A14" s="332"/>
      <c r="B14" s="333"/>
      <c r="C14" s="333"/>
      <c r="D14" s="333" t="s">
        <v>467</v>
      </c>
      <c r="E14" s="17">
        <v>1452</v>
      </c>
      <c r="F14" s="17">
        <v>1753</v>
      </c>
      <c r="G14" s="59">
        <f>IFERROR(F14/E14-1,0)</f>
        <v>0.20730027548209362</v>
      </c>
      <c r="H14" s="101">
        <f>F14-E14</f>
        <v>301</v>
      </c>
      <c r="J14" s="356"/>
      <c r="K14" s="358"/>
    </row>
    <row r="15" spans="1:12">
      <c r="A15" s="332"/>
      <c r="B15" s="333"/>
      <c r="C15" s="333"/>
      <c r="D15" s="333" t="s">
        <v>468</v>
      </c>
      <c r="E15" s="17"/>
      <c r="F15" s="17"/>
      <c r="G15" s="59"/>
      <c r="H15" s="101"/>
      <c r="J15" s="356"/>
      <c r="K15" s="358"/>
    </row>
    <row r="16" spans="1:12">
      <c r="A16" s="332"/>
      <c r="B16" s="333"/>
      <c r="C16" s="333" t="s">
        <v>469</v>
      </c>
      <c r="D16" s="3"/>
      <c r="E16" s="17"/>
      <c r="F16" s="17"/>
      <c r="G16" s="77"/>
      <c r="H16" s="101"/>
      <c r="J16" s="356"/>
      <c r="K16" s="358"/>
    </row>
    <row r="17" spans="1:12">
      <c r="A17" s="332"/>
      <c r="B17" s="333"/>
      <c r="C17" s="333"/>
      <c r="D17" s="333" t="s">
        <v>470</v>
      </c>
      <c r="E17" s="17"/>
      <c r="F17" s="17"/>
      <c r="G17" s="59">
        <f t="shared" ref="G17:G22" si="3">IFERROR(F17/E17-1,0)</f>
        <v>0</v>
      </c>
      <c r="H17" s="101">
        <f>F17-E17</f>
        <v>0</v>
      </c>
      <c r="J17" s="356"/>
      <c r="K17" s="358"/>
    </row>
    <row r="18" spans="1:12">
      <c r="A18" s="332"/>
      <c r="B18" s="333"/>
      <c r="C18" s="333"/>
      <c r="D18" s="333" t="s">
        <v>471</v>
      </c>
      <c r="E18" s="17">
        <v>2187</v>
      </c>
      <c r="F18" s="17">
        <v>1437</v>
      </c>
      <c r="G18" s="59">
        <f t="shared" si="3"/>
        <v>-0.34293552812071326</v>
      </c>
      <c r="H18" s="101">
        <f t="shared" ref="H18:H22" si="4">F18-E18</f>
        <v>-750</v>
      </c>
      <c r="J18" s="356"/>
      <c r="K18" s="358"/>
    </row>
    <row r="19" spans="1:12">
      <c r="A19" s="332"/>
      <c r="B19" s="333"/>
      <c r="C19" s="333"/>
      <c r="D19" s="333" t="s">
        <v>472</v>
      </c>
      <c r="E19" s="17">
        <v>0</v>
      </c>
      <c r="F19" s="17">
        <v>0</v>
      </c>
      <c r="G19" s="59">
        <f t="shared" si="3"/>
        <v>0</v>
      </c>
      <c r="H19" s="101">
        <f t="shared" si="4"/>
        <v>0</v>
      </c>
      <c r="J19" s="356"/>
      <c r="K19" s="358"/>
    </row>
    <row r="20" spans="1:12">
      <c r="A20" s="332"/>
      <c r="B20" s="333"/>
      <c r="C20" s="333"/>
      <c r="D20" s="333" t="s">
        <v>465</v>
      </c>
      <c r="E20" s="17">
        <v>3172</v>
      </c>
      <c r="F20" s="17">
        <v>3227</v>
      </c>
      <c r="G20" s="59">
        <f t="shared" si="3"/>
        <v>1.7339218158890279E-2</v>
      </c>
      <c r="H20" s="101">
        <f t="shared" si="4"/>
        <v>55</v>
      </c>
      <c r="J20" s="356"/>
      <c r="K20" s="358"/>
    </row>
    <row r="21" spans="1:12">
      <c r="A21" s="332"/>
      <c r="B21" s="333"/>
      <c r="C21" s="3"/>
      <c r="D21" s="3" t="s">
        <v>473</v>
      </c>
      <c r="E21" s="17">
        <v>3799</v>
      </c>
      <c r="F21" s="17">
        <v>4933</v>
      </c>
      <c r="G21" s="59">
        <f t="shared" si="3"/>
        <v>0.29849960515925233</v>
      </c>
      <c r="H21" s="101">
        <f t="shared" si="4"/>
        <v>1134</v>
      </c>
      <c r="J21" s="356"/>
      <c r="K21" s="358"/>
    </row>
    <row r="22" spans="1:12">
      <c r="A22" s="332"/>
      <c r="B22" s="333"/>
      <c r="C22" s="333"/>
      <c r="D22" s="333" t="s">
        <v>467</v>
      </c>
      <c r="E22" s="17">
        <v>0</v>
      </c>
      <c r="F22" s="17">
        <v>0</v>
      </c>
      <c r="G22" s="59">
        <f t="shared" si="3"/>
        <v>0</v>
      </c>
      <c r="H22" s="101">
        <f t="shared" si="4"/>
        <v>0</v>
      </c>
      <c r="J22" s="356"/>
      <c r="K22" s="358"/>
    </row>
    <row r="23" spans="1:12">
      <c r="A23" s="332"/>
      <c r="B23" s="333"/>
      <c r="C23" s="333" t="s">
        <v>474</v>
      </c>
      <c r="D23" s="324"/>
      <c r="E23" s="17">
        <v>0</v>
      </c>
      <c r="F23" s="17"/>
      <c r="G23" s="77"/>
      <c r="H23" s="101"/>
      <c r="J23" s="356"/>
      <c r="K23" s="358"/>
    </row>
    <row r="24" spans="1:12">
      <c r="A24" s="332"/>
      <c r="B24" s="333"/>
      <c r="C24" s="333"/>
      <c r="D24" s="333" t="s">
        <v>475</v>
      </c>
      <c r="E24" s="17">
        <v>189315</v>
      </c>
      <c r="F24" s="17">
        <v>190349</v>
      </c>
      <c r="G24" s="59">
        <f>F24/E24-1</f>
        <v>5.4617964767715854E-3</v>
      </c>
      <c r="H24" s="101">
        <f t="shared" ref="H24:H25" si="5">F24-E24</f>
        <v>1034</v>
      </c>
      <c r="J24" s="356"/>
      <c r="K24" s="358"/>
    </row>
    <row r="25" spans="1:12">
      <c r="A25" s="332"/>
      <c r="B25" s="333"/>
      <c r="C25" s="333"/>
      <c r="D25" s="333" t="s">
        <v>476</v>
      </c>
      <c r="E25" s="17">
        <v>23086</v>
      </c>
      <c r="F25" s="17">
        <v>28348</v>
      </c>
      <c r="G25" s="59">
        <f>F25/E25-1</f>
        <v>0.22793034739669071</v>
      </c>
      <c r="H25" s="101">
        <f t="shared" si="5"/>
        <v>5262</v>
      </c>
      <c r="J25" s="356"/>
      <c r="K25" s="358"/>
    </row>
    <row r="26" spans="1:12">
      <c r="A26" s="325" t="s">
        <v>477</v>
      </c>
      <c r="B26" s="326"/>
      <c r="C26" s="326"/>
      <c r="D26" s="327"/>
      <c r="E26" s="35">
        <v>625592</v>
      </c>
      <c r="F26" s="35">
        <f>SUM(F5:F25)</f>
        <v>639357</v>
      </c>
      <c r="G26" s="83">
        <f>F26/E26-1</f>
        <v>2.2003158608166373E-2</v>
      </c>
      <c r="H26" s="85">
        <f>F26-E26</f>
        <v>13765</v>
      </c>
      <c r="J26" s="356"/>
      <c r="K26" s="358"/>
    </row>
    <row r="27" spans="1:12">
      <c r="A27" s="332" t="s">
        <v>478</v>
      </c>
      <c r="B27" s="333"/>
      <c r="C27" s="333"/>
      <c r="D27" s="333"/>
      <c r="E27" s="51"/>
      <c r="F27" s="51"/>
      <c r="G27" s="59"/>
      <c r="H27" s="60"/>
      <c r="J27" s="356"/>
      <c r="K27" s="358"/>
    </row>
    <row r="28" spans="1:12">
      <c r="A28" s="332"/>
      <c r="B28" s="333" t="s">
        <v>479</v>
      </c>
      <c r="C28" s="333"/>
      <c r="D28" s="333"/>
      <c r="E28" s="51"/>
      <c r="F28" s="51"/>
      <c r="G28" s="59"/>
      <c r="H28" s="60"/>
      <c r="J28" s="356"/>
      <c r="K28" s="358"/>
    </row>
    <row r="29" spans="1:12">
      <c r="A29" s="332"/>
      <c r="B29" s="333"/>
      <c r="C29" s="333"/>
      <c r="D29" s="333" t="s">
        <v>480</v>
      </c>
      <c r="E29" s="13"/>
      <c r="F29" s="13"/>
      <c r="G29" s="59"/>
      <c r="H29" s="60"/>
      <c r="J29" s="356"/>
      <c r="K29" s="359"/>
    </row>
    <row r="30" spans="1:12">
      <c r="A30" s="332"/>
      <c r="B30" s="333"/>
      <c r="C30" s="333"/>
      <c r="D30" s="333" t="s">
        <v>481</v>
      </c>
      <c r="E30" s="13">
        <v>16326</v>
      </c>
      <c r="F30" s="17">
        <v>22598</v>
      </c>
      <c r="G30" s="59">
        <f t="shared" ref="G30:G42" si="6">IFERROR(F30/E30-1,0)</f>
        <v>0.38417248560578221</v>
      </c>
      <c r="H30" s="101">
        <f>F30-E30</f>
        <v>6272</v>
      </c>
      <c r="J30" s="356"/>
      <c r="K30" s="358"/>
      <c r="L30" s="358"/>
    </row>
    <row r="31" spans="1:12">
      <c r="A31" s="332"/>
      <c r="B31" s="333"/>
      <c r="C31" s="333"/>
      <c r="D31" s="333" t="s">
        <v>482</v>
      </c>
      <c r="E31" s="13">
        <v>43744</v>
      </c>
      <c r="F31" s="17">
        <v>34882</v>
      </c>
      <c r="G31" s="59">
        <f t="shared" si="6"/>
        <v>-0.20258778346744699</v>
      </c>
      <c r="H31" s="101">
        <f t="shared" ref="H31:H42" si="7">F31-E31</f>
        <v>-8862</v>
      </c>
      <c r="J31" s="356"/>
      <c r="K31" s="358"/>
    </row>
    <row r="32" spans="1:12">
      <c r="A32" s="332"/>
      <c r="B32" s="333"/>
      <c r="C32" s="333"/>
      <c r="D32" s="333"/>
      <c r="E32" s="13">
        <v>9345</v>
      </c>
      <c r="F32" s="17">
        <v>331</v>
      </c>
      <c r="G32" s="59"/>
      <c r="H32" s="101"/>
      <c r="J32" s="356"/>
      <c r="K32" s="358"/>
    </row>
    <row r="33" spans="1:13">
      <c r="A33" s="332"/>
      <c r="B33" s="333"/>
      <c r="C33" s="333"/>
      <c r="D33" s="333" t="s">
        <v>483</v>
      </c>
      <c r="E33" s="13">
        <v>203</v>
      </c>
      <c r="F33" s="17">
        <v>6986</v>
      </c>
      <c r="G33" s="59">
        <f t="shared" si="6"/>
        <v>33.413793103448278</v>
      </c>
      <c r="H33" s="101">
        <f t="shared" si="7"/>
        <v>6783</v>
      </c>
      <c r="J33" s="356"/>
      <c r="K33" s="358"/>
    </row>
    <row r="34" spans="1:13">
      <c r="A34" s="332"/>
      <c r="B34" s="333"/>
      <c r="C34" s="333"/>
      <c r="D34" s="333" t="s">
        <v>484</v>
      </c>
      <c r="E34" s="13">
        <v>1103</v>
      </c>
      <c r="F34" s="17">
        <v>192</v>
      </c>
      <c r="G34" s="59">
        <f t="shared" si="6"/>
        <v>-0.82592928377153219</v>
      </c>
      <c r="H34" s="101">
        <f t="shared" si="7"/>
        <v>-911</v>
      </c>
      <c r="J34" s="356"/>
      <c r="K34" s="358"/>
    </row>
    <row r="35" spans="1:13">
      <c r="A35" s="332"/>
      <c r="B35" s="333"/>
      <c r="C35" s="333"/>
      <c r="D35" s="333" t="s">
        <v>485</v>
      </c>
      <c r="E35" s="13">
        <v>10502</v>
      </c>
      <c r="F35" s="17">
        <v>1103</v>
      </c>
      <c r="G35" s="59">
        <f t="shared" si="6"/>
        <v>-0.89497238621215003</v>
      </c>
      <c r="H35" s="101">
        <f t="shared" si="7"/>
        <v>-9399</v>
      </c>
      <c r="J35" s="356"/>
      <c r="K35" s="358"/>
    </row>
    <row r="36" spans="1:13">
      <c r="A36" s="332"/>
      <c r="B36" s="333"/>
      <c r="C36" s="333"/>
      <c r="D36" s="333" t="s">
        <v>486</v>
      </c>
      <c r="E36" s="17">
        <v>1371</v>
      </c>
      <c r="F36" s="17">
        <v>9412</v>
      </c>
      <c r="G36" s="59">
        <f t="shared" si="6"/>
        <v>5.8650619985412105</v>
      </c>
      <c r="H36" s="101">
        <f t="shared" si="7"/>
        <v>8041</v>
      </c>
      <c r="J36" s="356"/>
      <c r="K36" s="358"/>
    </row>
    <row r="37" spans="1:13">
      <c r="A37" s="332"/>
      <c r="B37" s="333"/>
      <c r="C37" s="333"/>
      <c r="D37" s="333" t="s">
        <v>487</v>
      </c>
      <c r="E37" s="17">
        <v>447</v>
      </c>
      <c r="F37" s="17">
        <v>1371</v>
      </c>
      <c r="G37" s="59">
        <f t="shared" si="6"/>
        <v>2.0671140939597317</v>
      </c>
      <c r="H37" s="101">
        <f t="shared" si="7"/>
        <v>924</v>
      </c>
      <c r="J37" s="356"/>
      <c r="K37" s="358"/>
    </row>
    <row r="38" spans="1:13">
      <c r="A38" s="332"/>
      <c r="B38" s="333"/>
      <c r="C38" s="333"/>
      <c r="D38" s="333" t="s">
        <v>466</v>
      </c>
      <c r="E38" s="17">
        <v>2078</v>
      </c>
      <c r="F38" s="17">
        <v>1946</v>
      </c>
      <c r="G38" s="59">
        <f t="shared" si="6"/>
        <v>-6.3522617901828671E-2</v>
      </c>
      <c r="H38" s="101">
        <f t="shared" si="7"/>
        <v>-132</v>
      </c>
      <c r="J38" s="356"/>
      <c r="K38" s="358"/>
    </row>
    <row r="39" spans="1:13">
      <c r="A39" s="332"/>
      <c r="B39" s="333"/>
      <c r="C39" s="333"/>
      <c r="D39" s="333" t="s">
        <v>488</v>
      </c>
      <c r="E39" s="17">
        <v>8435</v>
      </c>
      <c r="F39" s="17">
        <v>1703</v>
      </c>
      <c r="G39" s="59">
        <f t="shared" si="6"/>
        <v>-0.79810314167160645</v>
      </c>
      <c r="H39" s="101">
        <f t="shared" si="7"/>
        <v>-6732</v>
      </c>
      <c r="J39" s="356"/>
      <c r="K39" s="358"/>
    </row>
    <row r="40" spans="1:13">
      <c r="A40" s="332"/>
      <c r="B40" s="333"/>
      <c r="C40" s="333"/>
      <c r="D40" s="333" t="s">
        <v>489</v>
      </c>
      <c r="E40" s="17">
        <v>1013</v>
      </c>
      <c r="F40" s="17">
        <v>14690</v>
      </c>
      <c r="G40" s="59">
        <f t="shared" si="6"/>
        <v>13.501480750246792</v>
      </c>
      <c r="H40" s="101">
        <f t="shared" si="7"/>
        <v>13677</v>
      </c>
      <c r="J40" s="356"/>
      <c r="K40" s="358"/>
    </row>
    <row r="41" spans="1:13">
      <c r="A41" s="332"/>
      <c r="B41" s="333"/>
      <c r="C41" s="333"/>
      <c r="D41" s="333" t="s">
        <v>490</v>
      </c>
      <c r="E41" s="17">
        <v>0</v>
      </c>
      <c r="F41" s="17">
        <v>0</v>
      </c>
      <c r="G41" s="59">
        <f t="shared" si="6"/>
        <v>0</v>
      </c>
      <c r="H41" s="101">
        <f t="shared" si="7"/>
        <v>0</v>
      </c>
      <c r="J41" s="356"/>
      <c r="K41" s="358"/>
    </row>
    <row r="42" spans="1:13">
      <c r="A42" s="332"/>
      <c r="B42" s="333"/>
      <c r="C42" s="333"/>
      <c r="D42" s="333" t="s">
        <v>491</v>
      </c>
      <c r="E42" s="17"/>
      <c r="F42" s="17">
        <v>0</v>
      </c>
      <c r="G42" s="59">
        <f t="shared" si="6"/>
        <v>0</v>
      </c>
      <c r="H42" s="101">
        <f t="shared" si="7"/>
        <v>0</v>
      </c>
      <c r="J42" s="356"/>
      <c r="K42" s="358"/>
    </row>
    <row r="43" spans="1:13">
      <c r="A43" s="332"/>
      <c r="B43" s="333" t="s">
        <v>492</v>
      </c>
      <c r="C43" s="3"/>
      <c r="D43" s="3"/>
      <c r="E43" s="17"/>
      <c r="F43" s="17"/>
      <c r="G43" s="59"/>
      <c r="H43" s="101"/>
      <c r="J43" s="356"/>
      <c r="K43" s="358"/>
    </row>
    <row r="44" spans="1:13">
      <c r="A44" s="332"/>
      <c r="B44" s="333"/>
      <c r="C44" s="333"/>
      <c r="D44" s="333" t="s">
        <v>481</v>
      </c>
      <c r="E44" s="17">
        <v>111156</v>
      </c>
      <c r="F44" s="17">
        <v>86937</v>
      </c>
      <c r="G44" s="59">
        <f t="shared" ref="G44:G53" si="8">IFERROR(F44/E44-1,0)</f>
        <v>-0.21788297527798772</v>
      </c>
      <c r="H44" s="101">
        <f t="shared" ref="H44:H53" si="9">F44-E44</f>
        <v>-24219</v>
      </c>
      <c r="J44" s="356"/>
      <c r="K44" s="358"/>
    </row>
    <row r="45" spans="1:13">
      <c r="A45" s="332"/>
      <c r="B45" s="333"/>
      <c r="C45" s="333"/>
      <c r="D45" s="333" t="s">
        <v>483</v>
      </c>
      <c r="E45" s="17">
        <v>1507</v>
      </c>
      <c r="F45" s="17">
        <v>1420</v>
      </c>
      <c r="G45" s="59">
        <f t="shared" si="8"/>
        <v>-5.7730590577305896E-2</v>
      </c>
      <c r="H45" s="101">
        <f t="shared" si="9"/>
        <v>-87</v>
      </c>
      <c r="J45" s="356"/>
      <c r="K45" s="358"/>
    </row>
    <row r="46" spans="1:13">
      <c r="A46" s="332"/>
      <c r="B46" s="333"/>
      <c r="C46" s="333"/>
      <c r="D46" s="333" t="s">
        <v>484</v>
      </c>
      <c r="E46" s="17">
        <v>17956</v>
      </c>
      <c r="F46" s="17">
        <v>20609</v>
      </c>
      <c r="G46" s="59">
        <f t="shared" si="8"/>
        <v>0.14775005569169086</v>
      </c>
      <c r="H46" s="101">
        <f t="shared" si="9"/>
        <v>2653</v>
      </c>
      <c r="J46" s="356"/>
      <c r="K46" s="358"/>
      <c r="L46" s="358"/>
      <c r="M46" s="358"/>
    </row>
    <row r="47" spans="1:13">
      <c r="A47" s="332"/>
      <c r="B47" s="333"/>
      <c r="C47" s="333"/>
      <c r="D47" s="333" t="s">
        <v>493</v>
      </c>
      <c r="E47" s="17">
        <v>59065</v>
      </c>
      <c r="F47" s="17">
        <v>62725</v>
      </c>
      <c r="G47" s="59">
        <f t="shared" si="8"/>
        <v>6.1965631084398565E-2</v>
      </c>
      <c r="H47" s="101">
        <f t="shared" si="9"/>
        <v>3660</v>
      </c>
      <c r="J47" s="356"/>
      <c r="K47" s="358"/>
    </row>
    <row r="48" spans="1:13">
      <c r="A48" s="332"/>
      <c r="B48" s="333"/>
      <c r="C48" s="333"/>
      <c r="D48" s="333" t="s">
        <v>466</v>
      </c>
      <c r="E48" s="17">
        <v>0</v>
      </c>
      <c r="F48" s="17">
        <v>0</v>
      </c>
      <c r="G48" s="59">
        <f t="shared" si="8"/>
        <v>0</v>
      </c>
      <c r="H48" s="101">
        <f t="shared" si="9"/>
        <v>0</v>
      </c>
      <c r="J48" s="356"/>
      <c r="K48" s="358"/>
    </row>
    <row r="49" spans="1:12">
      <c r="A49" s="332"/>
      <c r="B49" s="333"/>
      <c r="C49" s="333"/>
      <c r="D49" s="333" t="s">
        <v>494</v>
      </c>
      <c r="E49" s="17">
        <v>0</v>
      </c>
      <c r="F49" s="17">
        <v>0</v>
      </c>
      <c r="G49" s="59">
        <f t="shared" si="8"/>
        <v>0</v>
      </c>
      <c r="H49" s="101">
        <f t="shared" si="9"/>
        <v>0</v>
      </c>
      <c r="J49" s="356"/>
      <c r="K49" s="358"/>
    </row>
    <row r="50" spans="1:12">
      <c r="A50" s="332"/>
      <c r="B50" s="333"/>
      <c r="C50" s="333"/>
      <c r="D50" s="333" t="s">
        <v>403</v>
      </c>
      <c r="E50" s="17">
        <v>0</v>
      </c>
      <c r="F50" s="17">
        <v>0</v>
      </c>
      <c r="G50" s="59">
        <f t="shared" si="8"/>
        <v>0</v>
      </c>
      <c r="H50" s="101">
        <f t="shared" si="9"/>
        <v>0</v>
      </c>
      <c r="J50" s="356"/>
      <c r="K50" s="358"/>
    </row>
    <row r="51" spans="1:12">
      <c r="A51" s="332"/>
      <c r="B51" s="333"/>
      <c r="C51" s="333"/>
      <c r="D51" s="333" t="s">
        <v>402</v>
      </c>
      <c r="E51" s="13">
        <v>2869</v>
      </c>
      <c r="F51" s="17">
        <v>3182</v>
      </c>
      <c r="G51" s="59">
        <f t="shared" si="8"/>
        <v>0.10909724642732654</v>
      </c>
      <c r="H51" s="101">
        <f t="shared" si="9"/>
        <v>313</v>
      </c>
      <c r="J51" s="356"/>
      <c r="K51" s="358"/>
    </row>
    <row r="52" spans="1:12">
      <c r="A52" s="332"/>
      <c r="B52" s="333"/>
      <c r="C52" s="333"/>
      <c r="D52" s="333" t="s">
        <v>405</v>
      </c>
      <c r="E52" s="17">
        <v>1709</v>
      </c>
      <c r="F52" s="17">
        <v>1709</v>
      </c>
      <c r="G52" s="59">
        <f t="shared" si="8"/>
        <v>0</v>
      </c>
      <c r="H52" s="101">
        <f t="shared" si="9"/>
        <v>0</v>
      </c>
      <c r="J52" s="356"/>
      <c r="K52" s="358"/>
    </row>
    <row r="53" spans="1:12">
      <c r="A53" s="332"/>
      <c r="B53" s="333"/>
      <c r="C53" s="333"/>
      <c r="D53" s="333" t="s">
        <v>489</v>
      </c>
      <c r="E53" s="17">
        <v>0</v>
      </c>
      <c r="F53" s="17">
        <v>0</v>
      </c>
      <c r="G53" s="59">
        <f t="shared" si="8"/>
        <v>0</v>
      </c>
      <c r="H53" s="101">
        <f t="shared" si="9"/>
        <v>0</v>
      </c>
      <c r="J53" s="356"/>
      <c r="K53" s="358"/>
    </row>
    <row r="54" spans="1:12">
      <c r="A54" s="325" t="s">
        <v>495</v>
      </c>
      <c r="B54" s="326"/>
      <c r="C54" s="326"/>
      <c r="D54" s="326"/>
      <c r="E54" s="35">
        <v>288829</v>
      </c>
      <c r="F54" s="35">
        <f>SUM(F29:F53)</f>
        <v>271796</v>
      </c>
      <c r="G54" s="83">
        <f>F54/E54-1</f>
        <v>-5.8972610091092004E-2</v>
      </c>
      <c r="H54" s="85">
        <f>F54-E54</f>
        <v>-17033</v>
      </c>
      <c r="J54" s="356"/>
      <c r="K54" s="358"/>
    </row>
    <row r="55" spans="1:12">
      <c r="A55" s="332" t="s">
        <v>496</v>
      </c>
      <c r="B55" s="333"/>
      <c r="C55" s="333"/>
      <c r="D55" s="333"/>
      <c r="E55" s="51"/>
      <c r="F55" s="51"/>
      <c r="G55" s="59"/>
      <c r="H55" s="60"/>
      <c r="J55" s="356"/>
      <c r="K55" s="358"/>
    </row>
    <row r="56" spans="1:12">
      <c r="A56" s="332"/>
      <c r="B56" s="333" t="s">
        <v>497</v>
      </c>
      <c r="C56" s="333"/>
      <c r="D56" s="333"/>
      <c r="E56" s="17">
        <v>130583</v>
      </c>
      <c r="F56" s="17">
        <v>130583</v>
      </c>
      <c r="G56" s="59">
        <f t="shared" ref="G56:G61" si="10">F56/E56-1</f>
        <v>0</v>
      </c>
      <c r="H56" s="101">
        <f t="shared" ref="H56:H61" si="11">F56-E56</f>
        <v>0</v>
      </c>
      <c r="J56" s="356"/>
      <c r="K56" s="358"/>
    </row>
    <row r="57" spans="1:12">
      <c r="A57" s="332"/>
      <c r="B57" s="333" t="s">
        <v>498</v>
      </c>
      <c r="C57" s="333"/>
      <c r="D57" s="333"/>
      <c r="E57" s="17">
        <v>-3413</v>
      </c>
      <c r="F57" s="17">
        <v>-1643</v>
      </c>
      <c r="G57" s="59">
        <f t="shared" si="10"/>
        <v>-0.51860533255200703</v>
      </c>
      <c r="H57" s="101"/>
      <c r="J57" s="356"/>
      <c r="K57" s="358"/>
    </row>
    <row r="58" spans="1:12">
      <c r="A58" s="332"/>
      <c r="B58" s="333" t="s">
        <v>499</v>
      </c>
      <c r="C58" s="333"/>
      <c r="D58" s="333"/>
      <c r="E58" s="17">
        <v>-10870</v>
      </c>
      <c r="F58" s="17">
        <v>-10870</v>
      </c>
      <c r="G58" s="59">
        <f t="shared" si="10"/>
        <v>0</v>
      </c>
      <c r="H58" s="101">
        <f t="shared" si="11"/>
        <v>0</v>
      </c>
      <c r="J58" s="356"/>
      <c r="K58" s="358"/>
    </row>
    <row r="59" spans="1:12">
      <c r="A59" s="332"/>
      <c r="B59" s="333" t="s">
        <v>500</v>
      </c>
      <c r="C59" s="3"/>
      <c r="D59" s="3"/>
      <c r="E59" s="17">
        <v>185216</v>
      </c>
      <c r="F59" s="17">
        <v>171805</v>
      </c>
      <c r="G59" s="59">
        <f t="shared" si="10"/>
        <v>-7.2407351416724275E-2</v>
      </c>
      <c r="H59" s="101">
        <f t="shared" si="11"/>
        <v>-13411</v>
      </c>
      <c r="J59" s="356"/>
      <c r="K59" s="358"/>
    </row>
    <row r="60" spans="1:12">
      <c r="A60" s="332"/>
      <c r="B60" s="333" t="s">
        <v>501</v>
      </c>
      <c r="C60" s="333"/>
      <c r="D60" s="333"/>
      <c r="E60" s="17">
        <v>17749</v>
      </c>
      <c r="F60" s="17">
        <v>17816</v>
      </c>
      <c r="G60" s="59">
        <f t="shared" si="10"/>
        <v>3.7748605555243397E-3</v>
      </c>
      <c r="H60" s="101">
        <f t="shared" si="11"/>
        <v>67</v>
      </c>
      <c r="J60" s="356"/>
      <c r="K60" s="358"/>
    </row>
    <row r="61" spans="1:12">
      <c r="A61" s="332"/>
      <c r="B61" s="333" t="s">
        <v>502</v>
      </c>
      <c r="C61" s="333"/>
      <c r="D61" s="333"/>
      <c r="E61" s="17">
        <v>-13980</v>
      </c>
      <c r="F61" s="17">
        <v>-13915</v>
      </c>
      <c r="G61" s="59">
        <f t="shared" si="10"/>
        <v>-4.6494992846923822E-3</v>
      </c>
      <c r="H61" s="101">
        <f t="shared" si="11"/>
        <v>65</v>
      </c>
      <c r="I61" s="357"/>
      <c r="J61" s="356"/>
      <c r="K61" s="358"/>
      <c r="L61" s="360"/>
    </row>
    <row r="62" spans="1:12">
      <c r="A62" s="332"/>
      <c r="B62" s="333" t="s">
        <v>503</v>
      </c>
      <c r="C62" s="333"/>
      <c r="D62" s="333"/>
      <c r="E62" s="17">
        <v>3205</v>
      </c>
      <c r="F62" s="17">
        <v>0</v>
      </c>
      <c r="G62" s="59">
        <f t="shared" ref="G62:G64" si="12">F62/E62-1</f>
        <v>-1</v>
      </c>
      <c r="H62" s="101">
        <f t="shared" ref="H62:H64" si="13">F62-E62</f>
        <v>-3205</v>
      </c>
      <c r="I62" s="357"/>
      <c r="J62" s="356"/>
      <c r="K62" s="358"/>
      <c r="L62" s="360"/>
    </row>
    <row r="63" spans="1:12">
      <c r="A63" s="332"/>
      <c r="B63" s="3" t="s">
        <v>504</v>
      </c>
      <c r="C63" s="333"/>
      <c r="D63" s="333"/>
      <c r="E63" s="17">
        <v>18619</v>
      </c>
      <c r="F63" s="17">
        <v>55681</v>
      </c>
      <c r="G63" s="59"/>
      <c r="H63" s="101"/>
      <c r="I63" s="357"/>
      <c r="J63" s="356"/>
      <c r="K63" s="358"/>
      <c r="L63" s="360"/>
    </row>
    <row r="64" spans="1:12">
      <c r="A64" s="332"/>
      <c r="B64" s="328" t="s">
        <v>411</v>
      </c>
      <c r="C64" s="333"/>
      <c r="D64" s="333"/>
      <c r="E64" s="17">
        <v>9654</v>
      </c>
      <c r="F64" s="17">
        <v>18104</v>
      </c>
      <c r="G64" s="59">
        <f t="shared" si="12"/>
        <v>0.87528485601823069</v>
      </c>
      <c r="H64" s="101">
        <f t="shared" si="13"/>
        <v>8450</v>
      </c>
      <c r="I64" s="357"/>
      <c r="J64" s="356"/>
      <c r="K64" s="358"/>
      <c r="L64" s="360"/>
    </row>
    <row r="65" spans="1:11">
      <c r="A65" s="325" t="s">
        <v>505</v>
      </c>
      <c r="B65" s="326"/>
      <c r="C65" s="326"/>
      <c r="D65" s="326"/>
      <c r="E65" s="36">
        <v>336763</v>
      </c>
      <c r="F65" s="36">
        <f>SUM(F55:F64)</f>
        <v>367561</v>
      </c>
      <c r="G65" s="83">
        <f>F65/E65-1</f>
        <v>9.145303967478613E-2</v>
      </c>
      <c r="H65" s="85">
        <f>F65-E65</f>
        <v>30798</v>
      </c>
      <c r="J65" s="356"/>
      <c r="K65" s="358"/>
    </row>
    <row r="66" spans="1:11">
      <c r="A66" s="332"/>
      <c r="B66" s="333"/>
      <c r="C66" s="333"/>
      <c r="D66" s="333"/>
      <c r="E66" s="51"/>
      <c r="F66" s="51"/>
      <c r="G66" s="59"/>
      <c r="H66" s="60"/>
      <c r="J66" s="356"/>
      <c r="K66" s="358"/>
    </row>
    <row r="67" spans="1:11" ht="12.75" thickBot="1">
      <c r="A67" s="336" t="s">
        <v>506</v>
      </c>
      <c r="B67" s="337"/>
      <c r="C67" s="337"/>
      <c r="D67" s="337"/>
      <c r="E67" s="37">
        <v>625592</v>
      </c>
      <c r="F67" s="37">
        <f>F65+F54</f>
        <v>639357</v>
      </c>
      <c r="G67" s="78">
        <f>F67/E67-1</f>
        <v>2.2003158608166373E-2</v>
      </c>
      <c r="H67" s="79">
        <f>F67-E67</f>
        <v>13765</v>
      </c>
      <c r="J67" s="356"/>
      <c r="K67" s="358"/>
    </row>
    <row r="68" spans="1:11">
      <c r="E68" s="361">
        <v>0</v>
      </c>
      <c r="F68" s="361">
        <f>F67-F26</f>
        <v>0</v>
      </c>
      <c r="J68" s="356"/>
    </row>
    <row r="69" spans="1:11">
      <c r="E69" s="356"/>
      <c r="F69" s="362"/>
      <c r="H69" s="363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C45" activePane="bottomRight" state="frozen"/>
      <selection pane="topRight" activeCell="C1" sqref="C1"/>
      <selection pane="bottomLeft" activeCell="A3" sqref="A3"/>
      <selection pane="bottomRight" activeCell="A2" sqref="A2:B65"/>
    </sheetView>
  </sheetViews>
  <sheetFormatPr defaultColWidth="9.140625" defaultRowHeight="15.75" customHeight="1" outlineLevelRow="1"/>
  <cols>
    <col min="1" max="1" width="2.85546875" style="3" customWidth="1"/>
    <col min="2" max="2" width="57.85546875" style="3" bestFit="1" customWidth="1"/>
    <col min="3" max="3" width="9.5703125" style="33" customWidth="1"/>
    <col min="4" max="4" width="10.140625" style="33" customWidth="1"/>
    <col min="5" max="6" width="9.140625" style="33" customWidth="1"/>
    <col min="7" max="7" width="9.140625" style="47" customWidth="1"/>
    <col min="8" max="8" width="12.140625" style="33" customWidth="1"/>
    <col min="9" max="9" width="10.85546875" style="33" customWidth="1"/>
    <col min="10" max="10" width="11.140625" style="33" customWidth="1"/>
    <col min="11" max="11" width="13.85546875" style="47" hidden="1" customWidth="1"/>
    <col min="12" max="12" width="13.85546875" style="33" hidden="1" customWidth="1"/>
    <col min="13" max="13" width="10.85546875" style="33" hidden="1" customWidth="1"/>
    <col min="14" max="14" width="11.140625" style="33" hidden="1" customWidth="1"/>
    <col min="15" max="15" width="13.85546875" style="47" hidden="1" customWidth="1"/>
    <col min="16" max="16" width="13.85546875" style="33" hidden="1" customWidth="1"/>
    <col min="17" max="17" width="10.85546875" style="33" hidden="1" customWidth="1"/>
    <col min="18" max="18" width="11.140625" style="33" hidden="1" customWidth="1"/>
    <col min="19" max="19" width="10.42578125" style="12" customWidth="1"/>
    <col min="20" max="20" width="10.5703125" style="33" customWidth="1"/>
    <col min="21" max="21" width="11.140625" style="69" customWidth="1"/>
    <col min="22" max="22" width="11" style="69" customWidth="1"/>
    <col min="23" max="23" width="13.140625" style="12" customWidth="1"/>
    <col min="24" max="24" width="5.140625" style="12" bestFit="1" customWidth="1"/>
    <col min="25" max="16384" width="9.140625" style="12"/>
  </cols>
  <sheetData>
    <row r="1" spans="1:24" ht="90.75" customHeight="1" thickBot="1"/>
    <row r="2" spans="1:24" ht="15.75" customHeight="1" thickBot="1">
      <c r="A2" s="329" t="s">
        <v>507</v>
      </c>
      <c r="B2" s="330"/>
      <c r="C2" s="306" t="s">
        <v>408</v>
      </c>
      <c r="D2" s="306" t="s">
        <v>413</v>
      </c>
      <c r="E2" s="306" t="s">
        <v>0</v>
      </c>
      <c r="F2" s="307" t="s">
        <v>1</v>
      </c>
      <c r="G2" s="306" t="s">
        <v>409</v>
      </c>
      <c r="H2" s="306" t="s">
        <v>414</v>
      </c>
      <c r="I2" s="306" t="s">
        <v>0</v>
      </c>
      <c r="J2" s="307" t="s">
        <v>1</v>
      </c>
      <c r="K2" s="306" t="s">
        <v>410</v>
      </c>
      <c r="L2" s="306" t="s">
        <v>410</v>
      </c>
      <c r="M2" s="306" t="s">
        <v>0</v>
      </c>
      <c r="N2" s="307" t="s">
        <v>1</v>
      </c>
      <c r="O2" s="306" t="s">
        <v>412</v>
      </c>
      <c r="P2" s="306" t="s">
        <v>412</v>
      </c>
      <c r="Q2" s="306" t="s">
        <v>0</v>
      </c>
      <c r="R2" s="307" t="s">
        <v>1</v>
      </c>
      <c r="S2" s="306">
        <v>2022</v>
      </c>
      <c r="T2" s="306">
        <v>2023</v>
      </c>
      <c r="U2" s="306" t="s">
        <v>0</v>
      </c>
      <c r="V2" s="306" t="s">
        <v>1</v>
      </c>
    </row>
    <row r="3" spans="1:24" ht="15.75" customHeight="1">
      <c r="A3" s="331" t="s">
        <v>508</v>
      </c>
      <c r="C3" s="49"/>
      <c r="D3" s="30"/>
      <c r="F3" s="34"/>
      <c r="G3" s="30"/>
      <c r="H3" s="30"/>
      <c r="J3" s="34"/>
      <c r="K3" s="30"/>
      <c r="L3" s="30"/>
      <c r="N3" s="34"/>
      <c r="O3" s="30"/>
      <c r="P3" s="30"/>
      <c r="R3" s="34"/>
      <c r="S3" s="48"/>
      <c r="T3" s="30"/>
      <c r="V3" s="70"/>
    </row>
    <row r="4" spans="1:24" s="398" customFormat="1" ht="15.75" customHeight="1" outlineLevel="1">
      <c r="A4" s="332"/>
      <c r="B4" s="333" t="s">
        <v>435</v>
      </c>
      <c r="C4" s="393">
        <v>-5697</v>
      </c>
      <c r="D4" s="394">
        <v>3432</v>
      </c>
      <c r="E4" s="395">
        <f>D4/C4-1</f>
        <v>-1.6024223275408109</v>
      </c>
      <c r="F4" s="396">
        <f>D4-C4</f>
        <v>9129</v>
      </c>
      <c r="G4" s="397">
        <v>16296</v>
      </c>
      <c r="H4" s="397">
        <f>T4-D4</f>
        <v>17178</v>
      </c>
      <c r="I4" s="395">
        <v>0.28345278412223363</v>
      </c>
      <c r="J4" s="396">
        <v>3599</v>
      </c>
      <c r="K4" s="397">
        <v>11746</v>
      </c>
      <c r="L4" s="397">
        <v>11746</v>
      </c>
      <c r="M4" s="395">
        <f>L4/K4-1</f>
        <v>0</v>
      </c>
      <c r="N4" s="396">
        <f>L4-K4</f>
        <v>0</v>
      </c>
      <c r="O4" s="397">
        <v>23287</v>
      </c>
      <c r="P4" s="397">
        <f>T4-D4-H4-L4</f>
        <v>-11746</v>
      </c>
      <c r="Q4" s="395">
        <f>P4/O4-1</f>
        <v>-1.5044015974578091</v>
      </c>
      <c r="R4" s="396">
        <f>P4-O4</f>
        <v>-35033</v>
      </c>
      <c r="S4" s="397">
        <f>C4+G4</f>
        <v>10599</v>
      </c>
      <c r="T4" s="397">
        <v>20610</v>
      </c>
      <c r="U4" s="395">
        <f>IFERROR(T4/S4-1,"-")</f>
        <v>0.94452306821398246</v>
      </c>
      <c r="V4" s="396">
        <f>T4-S4</f>
        <v>10011</v>
      </c>
      <c r="X4" s="399"/>
    </row>
    <row r="5" spans="1:24" ht="15.75" customHeight="1">
      <c r="A5" s="332" t="s">
        <v>509</v>
      </c>
      <c r="B5" s="333"/>
      <c r="C5" s="14"/>
      <c r="D5" s="29"/>
      <c r="E5" s="59"/>
      <c r="F5" s="98"/>
      <c r="G5" s="97"/>
      <c r="H5" s="97">
        <f t="shared" ref="H5:H59" si="0">T5-D5</f>
        <v>0</v>
      </c>
      <c r="I5" s="59"/>
      <c r="J5" s="98"/>
      <c r="K5" s="97"/>
      <c r="L5" s="97"/>
      <c r="M5" s="59"/>
      <c r="N5" s="98"/>
      <c r="O5" s="97"/>
      <c r="P5" s="97"/>
      <c r="Q5" s="59"/>
      <c r="R5" s="98"/>
      <c r="S5" s="97"/>
      <c r="T5" s="97"/>
      <c r="U5" s="59" t="str">
        <f t="shared" ref="U5:U23" si="1">IFERROR(T5/S5-1,"-")</f>
        <v>-</v>
      </c>
      <c r="V5" s="98">
        <f t="shared" ref="V5:V23" si="2">T5-S5</f>
        <v>0</v>
      </c>
      <c r="X5" s="347"/>
    </row>
    <row r="6" spans="1:24" ht="15.75" customHeight="1" outlineLevel="1">
      <c r="A6" s="332"/>
      <c r="B6" s="333" t="s">
        <v>510</v>
      </c>
      <c r="C6" s="97">
        <v>3155</v>
      </c>
      <c r="D6" s="102">
        <v>2457</v>
      </c>
      <c r="E6" s="59">
        <f>D6/C6-1</f>
        <v>-0.2212361331220285</v>
      </c>
      <c r="F6" s="98">
        <f>D6-C6</f>
        <v>-698</v>
      </c>
      <c r="G6" s="97">
        <v>2713</v>
      </c>
      <c r="H6" s="97">
        <f t="shared" si="0"/>
        <v>2328</v>
      </c>
      <c r="I6" s="59">
        <v>0.29870751555768305</v>
      </c>
      <c r="J6" s="98">
        <v>624</v>
      </c>
      <c r="K6" s="97">
        <v>2120</v>
      </c>
      <c r="L6" s="97">
        <v>2120</v>
      </c>
      <c r="M6" s="59">
        <f t="shared" ref="M6:M22" si="3">L6/K6-1</f>
        <v>0</v>
      </c>
      <c r="N6" s="98">
        <f t="shared" ref="N6:N22" si="4">L6-K6</f>
        <v>0</v>
      </c>
      <c r="O6" s="97">
        <v>1763</v>
      </c>
      <c r="P6" s="97">
        <f t="shared" ref="P6:P22" si="5">T6-D6-H6-L6</f>
        <v>-2120</v>
      </c>
      <c r="Q6" s="59">
        <f t="shared" ref="Q6:Q22" si="6">P6/O6-1</f>
        <v>-2.2024957458876915</v>
      </c>
      <c r="R6" s="98">
        <f t="shared" ref="R6:R22" si="7">P6-O6</f>
        <v>-3883</v>
      </c>
      <c r="S6" s="97">
        <f t="shared" ref="S6:S59" si="8">C6+G6</f>
        <v>5868</v>
      </c>
      <c r="T6" s="97">
        <v>4785</v>
      </c>
      <c r="U6" s="59">
        <f t="shared" si="1"/>
        <v>-0.18456032719836402</v>
      </c>
      <c r="V6" s="98">
        <f t="shared" si="2"/>
        <v>-1083</v>
      </c>
      <c r="X6" s="347"/>
    </row>
    <row r="7" spans="1:24" ht="15.75" customHeight="1" outlineLevel="1">
      <c r="A7" s="332"/>
      <c r="B7" s="333" t="s">
        <v>511</v>
      </c>
      <c r="C7" s="97"/>
      <c r="D7" s="102">
        <v>0</v>
      </c>
      <c r="E7" s="59"/>
      <c r="F7" s="98"/>
      <c r="G7" s="97">
        <v>0</v>
      </c>
      <c r="H7" s="97">
        <f t="shared" si="0"/>
        <v>0</v>
      </c>
      <c r="I7" s="59"/>
      <c r="J7" s="98"/>
      <c r="K7" s="97">
        <v>0</v>
      </c>
      <c r="L7" s="97">
        <v>0</v>
      </c>
      <c r="M7" s="59" t="e">
        <f t="shared" si="3"/>
        <v>#DIV/0!</v>
      </c>
      <c r="N7" s="98">
        <f t="shared" si="4"/>
        <v>0</v>
      </c>
      <c r="O7" s="97">
        <v>0</v>
      </c>
      <c r="P7" s="97">
        <f t="shared" si="5"/>
        <v>0</v>
      </c>
      <c r="Q7" s="59" t="e">
        <f t="shared" si="6"/>
        <v>#DIV/0!</v>
      </c>
      <c r="R7" s="98">
        <f t="shared" si="7"/>
        <v>0</v>
      </c>
      <c r="S7" s="97">
        <f t="shared" si="8"/>
        <v>0</v>
      </c>
      <c r="T7" s="97">
        <v>0</v>
      </c>
      <c r="U7" s="59" t="str">
        <f t="shared" si="1"/>
        <v>-</v>
      </c>
      <c r="V7" s="98">
        <f t="shared" si="2"/>
        <v>0</v>
      </c>
      <c r="X7" s="347"/>
    </row>
    <row r="8" spans="1:24" ht="15.75" customHeight="1" outlineLevel="1">
      <c r="A8" s="332"/>
      <c r="B8" s="333" t="s">
        <v>512</v>
      </c>
      <c r="C8" s="97">
        <v>2123</v>
      </c>
      <c r="D8" s="102">
        <v>547</v>
      </c>
      <c r="E8" s="59">
        <f t="shared" ref="E8:E20" si="9">D8/C8-1</f>
        <v>-0.74234573716439001</v>
      </c>
      <c r="F8" s="98">
        <f t="shared" ref="F8:F20" si="10">D8-C8</f>
        <v>-1576</v>
      </c>
      <c r="G8" s="97">
        <v>1396</v>
      </c>
      <c r="H8" s="97">
        <f t="shared" si="0"/>
        <v>416</v>
      </c>
      <c r="I8" s="59">
        <v>-3.0929535232383807</v>
      </c>
      <c r="J8" s="98">
        <v>2063</v>
      </c>
      <c r="K8" s="97">
        <v>1088</v>
      </c>
      <c r="L8" s="97">
        <v>1088</v>
      </c>
      <c r="M8" s="59">
        <f t="shared" si="3"/>
        <v>0</v>
      </c>
      <c r="N8" s="98">
        <f t="shared" si="4"/>
        <v>0</v>
      </c>
      <c r="O8" s="97">
        <v>908</v>
      </c>
      <c r="P8" s="97">
        <f t="shared" si="5"/>
        <v>-1088</v>
      </c>
      <c r="Q8" s="59">
        <f t="shared" si="6"/>
        <v>-2.1982378854625551</v>
      </c>
      <c r="R8" s="98">
        <f t="shared" si="7"/>
        <v>-1996</v>
      </c>
      <c r="S8" s="97">
        <f t="shared" si="8"/>
        <v>3519</v>
      </c>
      <c r="T8" s="97">
        <v>963</v>
      </c>
      <c r="U8" s="59">
        <f t="shared" si="1"/>
        <v>-0.72634271099744252</v>
      </c>
      <c r="V8" s="98">
        <f t="shared" si="2"/>
        <v>-2556</v>
      </c>
      <c r="X8" s="347"/>
    </row>
    <row r="9" spans="1:24" ht="15.75" customHeight="1" outlineLevel="1">
      <c r="A9" s="332"/>
      <c r="B9" s="333" t="s">
        <v>513</v>
      </c>
      <c r="C9" s="97">
        <v>-48</v>
      </c>
      <c r="D9" s="102">
        <v>-102</v>
      </c>
      <c r="E9" s="59">
        <f t="shared" si="9"/>
        <v>1.125</v>
      </c>
      <c r="F9" s="98">
        <f t="shared" si="10"/>
        <v>-54</v>
      </c>
      <c r="G9" s="97">
        <v>342</v>
      </c>
      <c r="H9" s="97">
        <f t="shared" si="0"/>
        <v>410</v>
      </c>
      <c r="I9" s="59">
        <v>1.9230769230769229</v>
      </c>
      <c r="J9" s="98">
        <v>225</v>
      </c>
      <c r="K9" s="97">
        <v>-501</v>
      </c>
      <c r="L9" s="97">
        <v>-501</v>
      </c>
      <c r="M9" s="59">
        <f t="shared" si="3"/>
        <v>0</v>
      </c>
      <c r="N9" s="98">
        <f t="shared" si="4"/>
        <v>0</v>
      </c>
      <c r="O9" s="97">
        <v>-1296</v>
      </c>
      <c r="P9" s="97">
        <f t="shared" si="5"/>
        <v>501</v>
      </c>
      <c r="Q9" s="59">
        <f t="shared" si="6"/>
        <v>-1.386574074074074</v>
      </c>
      <c r="R9" s="98">
        <f t="shared" si="7"/>
        <v>1797</v>
      </c>
      <c r="S9" s="97">
        <f t="shared" si="8"/>
        <v>294</v>
      </c>
      <c r="T9" s="97">
        <v>308</v>
      </c>
      <c r="U9" s="59">
        <f t="shared" si="1"/>
        <v>4.7619047619047672E-2</v>
      </c>
      <c r="V9" s="98">
        <f t="shared" si="2"/>
        <v>14</v>
      </c>
      <c r="X9" s="347"/>
    </row>
    <row r="10" spans="1:24" ht="15.75" customHeight="1" outlineLevel="1">
      <c r="A10" s="332"/>
      <c r="B10" s="333" t="s">
        <v>514</v>
      </c>
      <c r="C10" s="97"/>
      <c r="D10" s="102">
        <v>0</v>
      </c>
      <c r="E10" s="59"/>
      <c r="F10" s="98"/>
      <c r="G10" s="97">
        <v>0</v>
      </c>
      <c r="H10" s="97">
        <f t="shared" si="0"/>
        <v>0</v>
      </c>
      <c r="I10" s="59"/>
      <c r="J10" s="98"/>
      <c r="K10" s="97">
        <v>0</v>
      </c>
      <c r="L10" s="97">
        <v>0</v>
      </c>
      <c r="M10" s="59" t="e">
        <f t="shared" si="3"/>
        <v>#DIV/0!</v>
      </c>
      <c r="N10" s="98">
        <f t="shared" si="4"/>
        <v>0</v>
      </c>
      <c r="O10" s="97">
        <v>0</v>
      </c>
      <c r="P10" s="97">
        <f t="shared" si="5"/>
        <v>0</v>
      </c>
      <c r="Q10" s="59" t="e">
        <f t="shared" si="6"/>
        <v>#DIV/0!</v>
      </c>
      <c r="R10" s="98">
        <f t="shared" si="7"/>
        <v>0</v>
      </c>
      <c r="S10" s="97">
        <f t="shared" si="8"/>
        <v>0</v>
      </c>
      <c r="T10" s="97">
        <v>0</v>
      </c>
      <c r="U10" s="59" t="str">
        <f t="shared" ref="U10" si="11">IFERROR(T10/S10-1,"-")</f>
        <v>-</v>
      </c>
      <c r="V10" s="98">
        <f t="shared" ref="V10" si="12">T10-S10</f>
        <v>0</v>
      </c>
      <c r="X10" s="347"/>
    </row>
    <row r="11" spans="1:24" ht="15.75" customHeight="1" outlineLevel="1">
      <c r="A11" s="332"/>
      <c r="B11" s="333" t="s">
        <v>515</v>
      </c>
      <c r="C11" s="97">
        <v>0</v>
      </c>
      <c r="D11" s="102">
        <v>0</v>
      </c>
      <c r="E11" s="59"/>
      <c r="F11" s="98"/>
      <c r="G11" s="97">
        <v>0</v>
      </c>
      <c r="H11" s="97">
        <f t="shared" si="0"/>
        <v>0</v>
      </c>
      <c r="I11" s="59"/>
      <c r="J11" s="98"/>
      <c r="K11" s="97">
        <v>0</v>
      </c>
      <c r="L11" s="97">
        <v>0</v>
      </c>
      <c r="M11" s="59" t="e">
        <f t="shared" si="3"/>
        <v>#DIV/0!</v>
      </c>
      <c r="N11" s="98">
        <f t="shared" si="4"/>
        <v>0</v>
      </c>
      <c r="O11" s="97">
        <v>0</v>
      </c>
      <c r="P11" s="97">
        <f t="shared" si="5"/>
        <v>0</v>
      </c>
      <c r="Q11" s="59" t="e">
        <f t="shared" si="6"/>
        <v>#DIV/0!</v>
      </c>
      <c r="R11" s="98">
        <f t="shared" si="7"/>
        <v>0</v>
      </c>
      <c r="S11" s="97">
        <f t="shared" si="8"/>
        <v>0</v>
      </c>
      <c r="T11" s="97">
        <v>0</v>
      </c>
      <c r="U11" s="59" t="str">
        <f t="shared" si="1"/>
        <v>-</v>
      </c>
      <c r="V11" s="98">
        <f t="shared" si="2"/>
        <v>0</v>
      </c>
      <c r="X11" s="347"/>
    </row>
    <row r="12" spans="1:24" ht="15.75" customHeight="1" outlineLevel="1">
      <c r="A12" s="332"/>
      <c r="B12" s="333" t="s">
        <v>516</v>
      </c>
      <c r="C12" s="97">
        <v>0</v>
      </c>
      <c r="D12" s="102">
        <v>0</v>
      </c>
      <c r="E12" s="59"/>
      <c r="F12" s="98"/>
      <c r="G12" s="97">
        <v>0</v>
      </c>
      <c r="H12" s="97">
        <f t="shared" si="0"/>
        <v>0</v>
      </c>
      <c r="I12" s="59"/>
      <c r="J12" s="98"/>
      <c r="K12" s="97">
        <v>0</v>
      </c>
      <c r="L12" s="97">
        <v>0</v>
      </c>
      <c r="M12" s="59" t="e">
        <f t="shared" si="3"/>
        <v>#DIV/0!</v>
      </c>
      <c r="N12" s="98">
        <f t="shared" si="4"/>
        <v>0</v>
      </c>
      <c r="O12" s="97">
        <v>0</v>
      </c>
      <c r="P12" s="97">
        <f t="shared" si="5"/>
        <v>0</v>
      </c>
      <c r="Q12" s="59" t="e">
        <f t="shared" si="6"/>
        <v>#DIV/0!</v>
      </c>
      <c r="R12" s="98">
        <f t="shared" si="7"/>
        <v>0</v>
      </c>
      <c r="S12" s="97">
        <f t="shared" si="8"/>
        <v>0</v>
      </c>
      <c r="T12" s="97">
        <v>0</v>
      </c>
      <c r="U12" s="59" t="str">
        <f t="shared" si="1"/>
        <v>-</v>
      </c>
      <c r="V12" s="98">
        <f t="shared" si="2"/>
        <v>0</v>
      </c>
      <c r="X12" s="347"/>
    </row>
    <row r="13" spans="1:24" ht="15.75" customHeight="1" outlineLevel="1">
      <c r="A13" s="332"/>
      <c r="B13" s="333" t="s">
        <v>517</v>
      </c>
      <c r="C13" s="97">
        <v>1080</v>
      </c>
      <c r="D13" s="313">
        <v>-1082</v>
      </c>
      <c r="E13" s="59">
        <f t="shared" si="9"/>
        <v>-2.0018518518518515</v>
      </c>
      <c r="F13" s="98">
        <f t="shared" si="10"/>
        <v>-2162</v>
      </c>
      <c r="G13" s="97">
        <v>1998</v>
      </c>
      <c r="H13" s="97">
        <f t="shared" si="0"/>
        <v>357</v>
      </c>
      <c r="I13" s="59">
        <v>-13.726114649681529</v>
      </c>
      <c r="J13" s="98">
        <v>2155</v>
      </c>
      <c r="K13" s="97">
        <v>2007</v>
      </c>
      <c r="L13" s="97">
        <v>2007</v>
      </c>
      <c r="M13" s="59">
        <f t="shared" si="3"/>
        <v>0</v>
      </c>
      <c r="N13" s="98">
        <f t="shared" si="4"/>
        <v>0</v>
      </c>
      <c r="O13" s="97">
        <v>2378</v>
      </c>
      <c r="P13" s="97">
        <f t="shared" si="5"/>
        <v>-2007</v>
      </c>
      <c r="Q13" s="59">
        <f t="shared" si="6"/>
        <v>-1.843986543313709</v>
      </c>
      <c r="R13" s="98">
        <f t="shared" si="7"/>
        <v>-4385</v>
      </c>
      <c r="S13" s="97">
        <f t="shared" si="8"/>
        <v>3078</v>
      </c>
      <c r="T13" s="97">
        <v>-725</v>
      </c>
      <c r="U13" s="59">
        <f t="shared" si="1"/>
        <v>-1.2355425601039636</v>
      </c>
      <c r="V13" s="98">
        <f t="shared" si="2"/>
        <v>-3803</v>
      </c>
      <c r="X13" s="347"/>
    </row>
    <row r="14" spans="1:24" ht="15.75" customHeight="1" outlineLevel="1">
      <c r="A14" s="332"/>
      <c r="B14" s="333" t="s">
        <v>518</v>
      </c>
      <c r="C14" s="97">
        <v>150</v>
      </c>
      <c r="D14" s="313">
        <v>-44</v>
      </c>
      <c r="E14" s="59">
        <f t="shared" si="9"/>
        <v>-1.2933333333333334</v>
      </c>
      <c r="F14" s="98">
        <f t="shared" si="10"/>
        <v>-194</v>
      </c>
      <c r="G14" s="97">
        <v>-91</v>
      </c>
      <c r="H14" s="97">
        <f t="shared" si="0"/>
        <v>-1</v>
      </c>
      <c r="I14" s="59">
        <v>-1.1076923076923078</v>
      </c>
      <c r="J14" s="98">
        <v>-936</v>
      </c>
      <c r="K14" s="97">
        <v>-130</v>
      </c>
      <c r="L14" s="97">
        <v>-130</v>
      </c>
      <c r="M14" s="59">
        <f t="shared" si="3"/>
        <v>0</v>
      </c>
      <c r="N14" s="98">
        <f t="shared" si="4"/>
        <v>0</v>
      </c>
      <c r="O14" s="97">
        <v>-67</v>
      </c>
      <c r="P14" s="97">
        <f t="shared" si="5"/>
        <v>130</v>
      </c>
      <c r="Q14" s="59">
        <f t="shared" si="6"/>
        <v>-2.9402985074626864</v>
      </c>
      <c r="R14" s="98">
        <f t="shared" si="7"/>
        <v>197</v>
      </c>
      <c r="S14" s="97">
        <f t="shared" si="8"/>
        <v>59</v>
      </c>
      <c r="T14" s="97">
        <v>-45</v>
      </c>
      <c r="U14" s="59">
        <f t="shared" si="1"/>
        <v>-1.7627118644067796</v>
      </c>
      <c r="V14" s="98">
        <f t="shared" si="2"/>
        <v>-104</v>
      </c>
      <c r="X14" s="347"/>
    </row>
    <row r="15" spans="1:24" ht="15.75" customHeight="1" outlineLevel="1">
      <c r="A15" s="332"/>
      <c r="B15" s="333" t="s">
        <v>519</v>
      </c>
      <c r="C15" s="97">
        <v>-1</v>
      </c>
      <c r="D15" s="313">
        <v>0</v>
      </c>
      <c r="E15" s="59">
        <f t="shared" si="9"/>
        <v>-1</v>
      </c>
      <c r="F15" s="98">
        <f t="shared" si="10"/>
        <v>1</v>
      </c>
      <c r="G15" s="97">
        <v>-2</v>
      </c>
      <c r="H15" s="97">
        <f t="shared" si="0"/>
        <v>0</v>
      </c>
      <c r="I15" s="59">
        <v>0</v>
      </c>
      <c r="J15" s="98">
        <v>0</v>
      </c>
      <c r="K15" s="97">
        <v>-1</v>
      </c>
      <c r="L15" s="97">
        <v>-1</v>
      </c>
      <c r="M15" s="59">
        <f t="shared" si="3"/>
        <v>0</v>
      </c>
      <c r="N15" s="98">
        <f t="shared" si="4"/>
        <v>0</v>
      </c>
      <c r="O15" s="97">
        <v>-1</v>
      </c>
      <c r="P15" s="97">
        <f t="shared" si="5"/>
        <v>1</v>
      </c>
      <c r="Q15" s="59">
        <f t="shared" si="6"/>
        <v>-2</v>
      </c>
      <c r="R15" s="98">
        <f t="shared" si="7"/>
        <v>2</v>
      </c>
      <c r="S15" s="97">
        <f t="shared" si="8"/>
        <v>-3</v>
      </c>
      <c r="T15" s="97">
        <v>0</v>
      </c>
      <c r="U15" s="59">
        <f t="shared" si="1"/>
        <v>-1</v>
      </c>
      <c r="V15" s="98">
        <f t="shared" si="2"/>
        <v>3</v>
      </c>
      <c r="X15" s="347"/>
    </row>
    <row r="16" spans="1:24" ht="15.75" customHeight="1" outlineLevel="1">
      <c r="A16" s="332"/>
      <c r="B16" s="333" t="s">
        <v>520</v>
      </c>
      <c r="C16" s="97"/>
      <c r="D16" s="313">
        <v>0</v>
      </c>
      <c r="E16" s="59"/>
      <c r="F16" s="98"/>
      <c r="G16" s="97">
        <v>0</v>
      </c>
      <c r="H16" s="97">
        <f t="shared" si="0"/>
        <v>0</v>
      </c>
      <c r="I16" s="59"/>
      <c r="J16" s="98"/>
      <c r="K16" s="97">
        <v>0</v>
      </c>
      <c r="L16" s="97">
        <v>0</v>
      </c>
      <c r="M16" s="59" t="e">
        <f t="shared" si="3"/>
        <v>#DIV/0!</v>
      </c>
      <c r="N16" s="98">
        <f t="shared" si="4"/>
        <v>0</v>
      </c>
      <c r="O16" s="97">
        <v>0</v>
      </c>
      <c r="P16" s="97">
        <f t="shared" si="5"/>
        <v>0</v>
      </c>
      <c r="Q16" s="59" t="e">
        <f t="shared" si="6"/>
        <v>#DIV/0!</v>
      </c>
      <c r="R16" s="98">
        <f t="shared" si="7"/>
        <v>0</v>
      </c>
      <c r="S16" s="97">
        <f t="shared" si="8"/>
        <v>0</v>
      </c>
      <c r="T16" s="97">
        <v>0</v>
      </c>
      <c r="U16" s="59" t="str">
        <f t="shared" si="1"/>
        <v>-</v>
      </c>
      <c r="V16" s="98">
        <f t="shared" si="2"/>
        <v>0</v>
      </c>
      <c r="X16" s="347"/>
    </row>
    <row r="17" spans="1:25" ht="15.75" customHeight="1" outlineLevel="1">
      <c r="A17" s="332"/>
      <c r="B17" s="333" t="s">
        <v>521</v>
      </c>
      <c r="C17" s="97">
        <v>4467</v>
      </c>
      <c r="D17" s="313">
        <v>4950</v>
      </c>
      <c r="E17" s="59">
        <f t="shared" si="9"/>
        <v>0.10812625923438546</v>
      </c>
      <c r="F17" s="98">
        <f t="shared" si="10"/>
        <v>483</v>
      </c>
      <c r="G17" s="97">
        <v>5013</v>
      </c>
      <c r="H17" s="97">
        <f t="shared" si="0"/>
        <v>4711</v>
      </c>
      <c r="I17" s="59">
        <v>0.92289988492520147</v>
      </c>
      <c r="J17" s="98">
        <v>2406</v>
      </c>
      <c r="K17" s="97">
        <v>5270</v>
      </c>
      <c r="L17" s="97">
        <v>5270</v>
      </c>
      <c r="M17" s="59">
        <f t="shared" si="3"/>
        <v>0</v>
      </c>
      <c r="N17" s="98">
        <f t="shared" si="4"/>
        <v>0</v>
      </c>
      <c r="O17" s="97">
        <v>5138</v>
      </c>
      <c r="P17" s="97">
        <f t="shared" si="5"/>
        <v>-5270</v>
      </c>
      <c r="Q17" s="59">
        <f t="shared" si="6"/>
        <v>-2.025690930323083</v>
      </c>
      <c r="R17" s="98">
        <f t="shared" si="7"/>
        <v>-10408</v>
      </c>
      <c r="S17" s="97">
        <f t="shared" si="8"/>
        <v>9480</v>
      </c>
      <c r="T17" s="97">
        <v>9661</v>
      </c>
      <c r="U17" s="59">
        <f t="shared" si="1"/>
        <v>1.9092827004219437E-2</v>
      </c>
      <c r="V17" s="98">
        <f t="shared" si="2"/>
        <v>181</v>
      </c>
      <c r="X17" s="347"/>
    </row>
    <row r="18" spans="1:25" ht="15.75" customHeight="1" outlineLevel="1">
      <c r="A18" s="334"/>
      <c r="B18" s="333" t="s">
        <v>522</v>
      </c>
      <c r="C18" s="97">
        <v>438</v>
      </c>
      <c r="D18" s="313">
        <v>-151</v>
      </c>
      <c r="E18" s="59">
        <f t="shared" si="9"/>
        <v>-1.3447488584474887</v>
      </c>
      <c r="F18" s="98">
        <f t="shared" si="10"/>
        <v>-589</v>
      </c>
      <c r="G18" s="97">
        <v>-96</v>
      </c>
      <c r="H18" s="97">
        <f t="shared" si="0"/>
        <v>-130</v>
      </c>
      <c r="I18" s="59">
        <v>-1.6530612244897958</v>
      </c>
      <c r="J18" s="98">
        <v>-243</v>
      </c>
      <c r="K18" s="97">
        <v>-116</v>
      </c>
      <c r="L18" s="97">
        <v>-116</v>
      </c>
      <c r="M18" s="59">
        <f t="shared" si="3"/>
        <v>0</v>
      </c>
      <c r="N18" s="98">
        <f t="shared" si="4"/>
        <v>0</v>
      </c>
      <c r="O18" s="97">
        <v>-125</v>
      </c>
      <c r="P18" s="97">
        <f t="shared" si="5"/>
        <v>116</v>
      </c>
      <c r="Q18" s="59">
        <f t="shared" si="6"/>
        <v>-1.9279999999999999</v>
      </c>
      <c r="R18" s="98">
        <f t="shared" si="7"/>
        <v>241</v>
      </c>
      <c r="S18" s="97">
        <f t="shared" si="8"/>
        <v>342</v>
      </c>
      <c r="T18" s="97">
        <v>-281</v>
      </c>
      <c r="U18" s="59">
        <f t="shared" si="1"/>
        <v>-1.8216374269005848</v>
      </c>
      <c r="V18" s="98">
        <f t="shared" si="2"/>
        <v>-623</v>
      </c>
      <c r="X18" s="347"/>
    </row>
    <row r="19" spans="1:25" ht="15.75" customHeight="1" outlineLevel="1">
      <c r="A19" s="334"/>
      <c r="B19" s="333" t="s">
        <v>466</v>
      </c>
      <c r="C19" s="97">
        <v>8399</v>
      </c>
      <c r="D19" s="313">
        <v>704</v>
      </c>
      <c r="E19" s="59">
        <f>D19/C19-1</f>
        <v>-0.91618049767829501</v>
      </c>
      <c r="F19" s="98">
        <f t="shared" si="10"/>
        <v>-7695</v>
      </c>
      <c r="G19" s="97">
        <v>-8191</v>
      </c>
      <c r="H19" s="97">
        <f t="shared" si="0"/>
        <v>452</v>
      </c>
      <c r="I19" s="59"/>
      <c r="J19" s="98"/>
      <c r="K19" s="97">
        <v>-404</v>
      </c>
      <c r="L19" s="97">
        <v>-404</v>
      </c>
      <c r="M19" s="59">
        <f t="shared" si="3"/>
        <v>0</v>
      </c>
      <c r="N19" s="98">
        <f t="shared" si="4"/>
        <v>0</v>
      </c>
      <c r="O19" s="97">
        <v>885</v>
      </c>
      <c r="P19" s="97">
        <f t="shared" si="5"/>
        <v>404</v>
      </c>
      <c r="Q19" s="59">
        <f t="shared" si="6"/>
        <v>-0.54350282485875701</v>
      </c>
      <c r="R19" s="98">
        <f t="shared" si="7"/>
        <v>-481</v>
      </c>
      <c r="S19" s="97">
        <f t="shared" si="8"/>
        <v>208</v>
      </c>
      <c r="T19" s="97">
        <v>1156</v>
      </c>
      <c r="U19" s="59">
        <f t="shared" si="1"/>
        <v>4.5576923076923075</v>
      </c>
      <c r="V19" s="98">
        <f t="shared" si="2"/>
        <v>948</v>
      </c>
      <c r="X19" s="347"/>
    </row>
    <row r="20" spans="1:25" ht="15.75" customHeight="1" outlineLevel="1">
      <c r="A20" s="334"/>
      <c r="B20" s="335" t="s">
        <v>523</v>
      </c>
      <c r="C20" s="97">
        <v>521</v>
      </c>
      <c r="D20" s="313">
        <v>449</v>
      </c>
      <c r="E20" s="59">
        <f t="shared" si="9"/>
        <v>-0.13819577735124755</v>
      </c>
      <c r="F20" s="98">
        <f t="shared" si="10"/>
        <v>-72</v>
      </c>
      <c r="G20" s="97">
        <v>579</v>
      </c>
      <c r="H20" s="97">
        <f t="shared" si="0"/>
        <v>1044</v>
      </c>
      <c r="I20" s="59">
        <v>-0.34502262443438914</v>
      </c>
      <c r="J20" s="98">
        <v>-305</v>
      </c>
      <c r="K20" s="97">
        <v>644</v>
      </c>
      <c r="L20" s="97">
        <v>644</v>
      </c>
      <c r="M20" s="59">
        <f t="shared" si="3"/>
        <v>0</v>
      </c>
      <c r="N20" s="98">
        <f t="shared" si="4"/>
        <v>0</v>
      </c>
      <c r="O20" s="97">
        <v>644</v>
      </c>
      <c r="P20" s="97">
        <f t="shared" si="5"/>
        <v>-644</v>
      </c>
      <c r="Q20" s="59">
        <f t="shared" si="6"/>
        <v>-2</v>
      </c>
      <c r="R20" s="98">
        <f t="shared" si="7"/>
        <v>-1288</v>
      </c>
      <c r="S20" s="97">
        <f t="shared" si="8"/>
        <v>1100</v>
      </c>
      <c r="T20" s="97">
        <v>1493</v>
      </c>
      <c r="U20" s="59">
        <f t="shared" si="1"/>
        <v>0.35727272727272719</v>
      </c>
      <c r="V20" s="98">
        <f t="shared" si="2"/>
        <v>393</v>
      </c>
      <c r="X20" s="347"/>
    </row>
    <row r="21" spans="1:25" ht="15.75" customHeight="1" outlineLevel="1">
      <c r="A21" s="334"/>
      <c r="B21" s="335" t="s">
        <v>524</v>
      </c>
      <c r="C21" s="97">
        <v>0</v>
      </c>
      <c r="D21" s="313">
        <v>0</v>
      </c>
      <c r="E21" s="71"/>
      <c r="F21" s="98"/>
      <c r="G21" s="97">
        <v>0</v>
      </c>
      <c r="H21" s="97">
        <f t="shared" si="0"/>
        <v>0</v>
      </c>
      <c r="I21" s="71"/>
      <c r="J21" s="98"/>
      <c r="K21" s="97">
        <v>0</v>
      </c>
      <c r="L21" s="97">
        <v>0</v>
      </c>
      <c r="M21" s="71" t="e">
        <f t="shared" si="3"/>
        <v>#DIV/0!</v>
      </c>
      <c r="N21" s="98">
        <f t="shared" si="4"/>
        <v>0</v>
      </c>
      <c r="O21" s="97">
        <v>0</v>
      </c>
      <c r="P21" s="97">
        <f t="shared" si="5"/>
        <v>0</v>
      </c>
      <c r="Q21" s="71" t="e">
        <f t="shared" si="6"/>
        <v>#DIV/0!</v>
      </c>
      <c r="R21" s="98">
        <f t="shared" si="7"/>
        <v>0</v>
      </c>
      <c r="S21" s="97">
        <f t="shared" si="8"/>
        <v>0</v>
      </c>
      <c r="T21" s="97">
        <v>0</v>
      </c>
      <c r="U21" s="71" t="str">
        <f t="shared" si="1"/>
        <v>-</v>
      </c>
      <c r="V21" s="98">
        <f t="shared" si="2"/>
        <v>0</v>
      </c>
      <c r="X21" s="347"/>
    </row>
    <row r="22" spans="1:25" ht="15.75" customHeight="1" outlineLevel="1">
      <c r="A22" s="334"/>
      <c r="B22" s="335" t="s">
        <v>525</v>
      </c>
      <c r="C22" s="97">
        <v>-14</v>
      </c>
      <c r="D22" s="313">
        <v>252</v>
      </c>
      <c r="E22" s="71">
        <f>D22/C22-1</f>
        <v>-19</v>
      </c>
      <c r="F22" s="98">
        <f>D22-C22</f>
        <v>266</v>
      </c>
      <c r="G22" s="97">
        <v>24</v>
      </c>
      <c r="H22" s="97">
        <f t="shared" si="0"/>
        <v>-11</v>
      </c>
      <c r="I22" s="71">
        <v>-1.1777777777777778</v>
      </c>
      <c r="J22" s="98">
        <v>159</v>
      </c>
      <c r="K22" s="97">
        <v>3</v>
      </c>
      <c r="L22" s="97">
        <v>3</v>
      </c>
      <c r="M22" s="71">
        <f t="shared" si="3"/>
        <v>0</v>
      </c>
      <c r="N22" s="98">
        <f t="shared" si="4"/>
        <v>0</v>
      </c>
      <c r="O22" s="97">
        <v>-342</v>
      </c>
      <c r="P22" s="97">
        <f t="shared" si="5"/>
        <v>-3</v>
      </c>
      <c r="Q22" s="71">
        <f t="shared" si="6"/>
        <v>-0.99122807017543857</v>
      </c>
      <c r="R22" s="98">
        <f t="shared" si="7"/>
        <v>339</v>
      </c>
      <c r="S22" s="97">
        <f t="shared" si="8"/>
        <v>10</v>
      </c>
      <c r="T22" s="97">
        <v>241</v>
      </c>
      <c r="U22" s="71">
        <f t="shared" si="1"/>
        <v>23.1</v>
      </c>
      <c r="V22" s="98">
        <f t="shared" si="2"/>
        <v>231</v>
      </c>
      <c r="X22" s="347"/>
    </row>
    <row r="23" spans="1:25" ht="15.75" customHeight="1" outlineLevel="1">
      <c r="A23" s="338"/>
      <c r="B23" s="339"/>
      <c r="C23" s="19">
        <v>14573</v>
      </c>
      <c r="D23" s="19">
        <v>11412</v>
      </c>
      <c r="E23" s="73">
        <f>D23/C23-1</f>
        <v>-0.21690798051190563</v>
      </c>
      <c r="F23" s="99">
        <f>D23-C23</f>
        <v>-3161</v>
      </c>
      <c r="G23" s="19">
        <v>19981</v>
      </c>
      <c r="H23" s="19">
        <f t="shared" si="0"/>
        <v>26754</v>
      </c>
      <c r="I23" s="73">
        <v>-2.5697288862882806E-2</v>
      </c>
      <c r="J23" s="99">
        <v>-527</v>
      </c>
      <c r="K23" s="19">
        <v>21726</v>
      </c>
      <c r="L23" s="19">
        <v>21726</v>
      </c>
      <c r="M23" s="73">
        <v>-2.5697288862882806E-2</v>
      </c>
      <c r="N23" s="99">
        <v>-527</v>
      </c>
      <c r="O23" s="19">
        <v>33172</v>
      </c>
      <c r="P23" s="19">
        <f t="shared" ref="P23" si="13">SUM(P4:P22)</f>
        <v>-21726</v>
      </c>
      <c r="Q23" s="73">
        <v>-2.5697288862882806E-2</v>
      </c>
      <c r="R23" s="99">
        <v>-527</v>
      </c>
      <c r="S23" s="19">
        <f t="shared" si="8"/>
        <v>34554</v>
      </c>
      <c r="T23" s="19">
        <f>SUM(T4:T22)</f>
        <v>38166</v>
      </c>
      <c r="U23" s="73">
        <f t="shared" si="1"/>
        <v>0.10453203681194645</v>
      </c>
      <c r="V23" s="99">
        <f t="shared" si="2"/>
        <v>3612</v>
      </c>
      <c r="X23" s="347"/>
    </row>
    <row r="24" spans="1:25" ht="20.25" customHeight="1">
      <c r="A24" s="331" t="s">
        <v>526</v>
      </c>
      <c r="C24" s="16"/>
      <c r="D24" s="25"/>
      <c r="E24" s="59"/>
      <c r="F24" s="60"/>
      <c r="H24" s="47">
        <f t="shared" si="0"/>
        <v>0</v>
      </c>
      <c r="I24" s="59"/>
      <c r="J24" s="60"/>
      <c r="L24" s="47"/>
      <c r="M24" s="59"/>
      <c r="N24" s="60"/>
      <c r="P24" s="47"/>
      <c r="Q24" s="59"/>
      <c r="R24" s="60"/>
      <c r="S24" s="25">
        <f t="shared" si="8"/>
        <v>0</v>
      </c>
      <c r="T24" s="25"/>
      <c r="U24" s="59"/>
      <c r="V24" s="60"/>
      <c r="X24" s="347"/>
    </row>
    <row r="25" spans="1:25" ht="15.75" customHeight="1" outlineLevel="1">
      <c r="A25" s="331"/>
      <c r="B25" s="333" t="s">
        <v>527</v>
      </c>
      <c r="C25" s="16">
        <v>0</v>
      </c>
      <c r="D25" s="16"/>
      <c r="E25" s="59"/>
      <c r="F25" s="60"/>
      <c r="G25" s="97">
        <v>0</v>
      </c>
      <c r="H25" s="97">
        <f t="shared" si="0"/>
        <v>0</v>
      </c>
      <c r="I25" s="59"/>
      <c r="J25" s="60"/>
      <c r="K25" s="97">
        <v>0</v>
      </c>
      <c r="L25" s="97">
        <v>0</v>
      </c>
      <c r="M25" s="59" t="e">
        <f t="shared" ref="M25:M35" si="14">L25/K25-1</f>
        <v>#DIV/0!</v>
      </c>
      <c r="N25" s="60">
        <f t="shared" ref="N25:N35" si="15">L25-K25</f>
        <v>0</v>
      </c>
      <c r="O25" s="97">
        <v>0</v>
      </c>
      <c r="P25" s="97">
        <f t="shared" ref="P25:P34" si="16">T25-D25-H25-L25</f>
        <v>0</v>
      </c>
      <c r="Q25" s="59" t="e">
        <f t="shared" ref="Q25:Q35" si="17">P25/O25-1</f>
        <v>#DIV/0!</v>
      </c>
      <c r="R25" s="60">
        <f t="shared" ref="R25:R35" si="18">P25-O25</f>
        <v>0</v>
      </c>
      <c r="S25" s="16">
        <f t="shared" si="8"/>
        <v>0</v>
      </c>
      <c r="T25" s="16"/>
      <c r="U25" s="59"/>
      <c r="V25" s="60"/>
      <c r="W25" s="105"/>
      <c r="X25" s="347"/>
    </row>
    <row r="26" spans="1:25" ht="15.75" customHeight="1" outlineLevel="1">
      <c r="A26" s="332"/>
      <c r="B26" s="333" t="s">
        <v>528</v>
      </c>
      <c r="C26" s="97">
        <v>19852</v>
      </c>
      <c r="D26" s="97">
        <v>19550</v>
      </c>
      <c r="E26" s="59">
        <f t="shared" ref="E26:E32" si="19">D26/C26-1</f>
        <v>-1.5212573040499722E-2</v>
      </c>
      <c r="F26" s="98">
        <f t="shared" ref="F26:F32" si="20">D26-C26</f>
        <v>-302</v>
      </c>
      <c r="G26" s="97">
        <v>-18302</v>
      </c>
      <c r="H26" s="97">
        <f t="shared" si="0"/>
        <v>-6369</v>
      </c>
      <c r="I26" s="59">
        <v>0.48881477263483286</v>
      </c>
      <c r="J26" s="98">
        <v>-6009</v>
      </c>
      <c r="K26" s="97">
        <v>12815</v>
      </c>
      <c r="L26" s="97">
        <v>12815</v>
      </c>
      <c r="M26" s="59">
        <f t="shared" si="14"/>
        <v>0</v>
      </c>
      <c r="N26" s="98">
        <f t="shared" si="15"/>
        <v>0</v>
      </c>
      <c r="O26" s="97">
        <v>-18254</v>
      </c>
      <c r="P26" s="97">
        <f t="shared" si="16"/>
        <v>-12815</v>
      </c>
      <c r="Q26" s="59">
        <f t="shared" si="17"/>
        <v>-0.29796209050071221</v>
      </c>
      <c r="R26" s="98">
        <f t="shared" si="18"/>
        <v>5439</v>
      </c>
      <c r="S26" s="97">
        <f t="shared" si="8"/>
        <v>1550</v>
      </c>
      <c r="T26" s="97">
        <v>13181</v>
      </c>
      <c r="U26" s="59">
        <f t="shared" ref="U26:U36" si="21">IFERROR(T26/S26-1,"-")</f>
        <v>7.5038709677419355</v>
      </c>
      <c r="V26" s="98">
        <f t="shared" ref="V26:V36" si="22">T26-S26</f>
        <v>11631</v>
      </c>
      <c r="W26"/>
      <c r="X26" s="347"/>
      <c r="Y26"/>
    </row>
    <row r="27" spans="1:25" ht="15.75" customHeight="1" outlineLevel="1">
      <c r="A27" s="332"/>
      <c r="B27" s="333" t="s">
        <v>529</v>
      </c>
      <c r="C27" s="97">
        <v>-21433</v>
      </c>
      <c r="D27" s="97">
        <v>-3883</v>
      </c>
      <c r="E27" s="59">
        <f t="shared" si="19"/>
        <v>-0.81883077497317225</v>
      </c>
      <c r="F27" s="98">
        <f t="shared" si="20"/>
        <v>17550</v>
      </c>
      <c r="G27" s="97">
        <v>-10398</v>
      </c>
      <c r="H27" s="97">
        <f t="shared" si="0"/>
        <v>3092</v>
      </c>
      <c r="I27" s="59">
        <v>-4.2003693444136658</v>
      </c>
      <c r="J27" s="98">
        <v>-13647</v>
      </c>
      <c r="K27" s="97">
        <v>-3547</v>
      </c>
      <c r="L27" s="97">
        <v>-3547</v>
      </c>
      <c r="M27" s="59">
        <f t="shared" si="14"/>
        <v>0</v>
      </c>
      <c r="N27" s="98">
        <f t="shared" si="15"/>
        <v>0</v>
      </c>
      <c r="O27" s="97">
        <v>17185</v>
      </c>
      <c r="P27" s="97">
        <f t="shared" si="16"/>
        <v>3547</v>
      </c>
      <c r="Q27" s="59">
        <f t="shared" si="17"/>
        <v>-0.79359906895548438</v>
      </c>
      <c r="R27" s="98">
        <f t="shared" si="18"/>
        <v>-13638</v>
      </c>
      <c r="S27" s="97">
        <f t="shared" si="8"/>
        <v>-31831</v>
      </c>
      <c r="T27" s="97">
        <v>-791</v>
      </c>
      <c r="U27" s="59">
        <f t="shared" si="21"/>
        <v>-0.9751500109955703</v>
      </c>
      <c r="V27" s="98">
        <f t="shared" si="22"/>
        <v>31040</v>
      </c>
      <c r="W27"/>
      <c r="X27" s="347"/>
      <c r="Y27"/>
    </row>
    <row r="28" spans="1:25" ht="15.75" customHeight="1" outlineLevel="1">
      <c r="A28" s="332"/>
      <c r="B28" s="333" t="s">
        <v>530</v>
      </c>
      <c r="C28" s="97">
        <v>4732</v>
      </c>
      <c r="D28" s="97">
        <v>8281</v>
      </c>
      <c r="E28" s="59">
        <f t="shared" si="19"/>
        <v>0.75</v>
      </c>
      <c r="F28" s="98">
        <f t="shared" si="20"/>
        <v>3549</v>
      </c>
      <c r="G28" s="97">
        <v>10266</v>
      </c>
      <c r="H28" s="97">
        <f t="shared" si="0"/>
        <v>-716</v>
      </c>
      <c r="I28" s="59">
        <v>6.9335394126738796</v>
      </c>
      <c r="J28" s="98">
        <v>8972</v>
      </c>
      <c r="K28" s="97">
        <v>4536</v>
      </c>
      <c r="L28" s="97">
        <v>4536</v>
      </c>
      <c r="M28" s="59">
        <f t="shared" si="14"/>
        <v>0</v>
      </c>
      <c r="N28" s="98">
        <f t="shared" si="15"/>
        <v>0</v>
      </c>
      <c r="O28" s="97">
        <v>15214</v>
      </c>
      <c r="P28" s="97">
        <f t="shared" si="16"/>
        <v>-4536</v>
      </c>
      <c r="Q28" s="59">
        <f t="shared" si="17"/>
        <v>-1.2981464440646773</v>
      </c>
      <c r="R28" s="98">
        <f t="shared" si="18"/>
        <v>-19750</v>
      </c>
      <c r="S28" s="97">
        <f t="shared" si="8"/>
        <v>14998</v>
      </c>
      <c r="T28" s="97">
        <v>7565</v>
      </c>
      <c r="U28" s="59">
        <f t="shared" si="21"/>
        <v>-0.49559941325510071</v>
      </c>
      <c r="V28" s="98">
        <f t="shared" si="22"/>
        <v>-7433</v>
      </c>
      <c r="W28"/>
      <c r="X28" s="347"/>
      <c r="Y28"/>
    </row>
    <row r="29" spans="1:25" ht="15.75" customHeight="1" outlineLevel="1">
      <c r="A29" s="332"/>
      <c r="B29" s="333" t="s">
        <v>531</v>
      </c>
      <c r="C29" s="97">
        <v>628</v>
      </c>
      <c r="D29" s="97">
        <v>-6171</v>
      </c>
      <c r="E29" s="59">
        <f t="shared" si="19"/>
        <v>-10.826433121019109</v>
      </c>
      <c r="F29" s="98">
        <f t="shared" si="20"/>
        <v>-6799</v>
      </c>
      <c r="G29" s="97">
        <v>1478</v>
      </c>
      <c r="H29" s="97">
        <f t="shared" si="0"/>
        <v>-2988</v>
      </c>
      <c r="I29" s="59">
        <v>8.1234567901234573</v>
      </c>
      <c r="J29" s="98">
        <v>1316</v>
      </c>
      <c r="K29" s="97">
        <v>686</v>
      </c>
      <c r="L29" s="97">
        <v>686</v>
      </c>
      <c r="M29" s="59">
        <f t="shared" si="14"/>
        <v>0</v>
      </c>
      <c r="N29" s="98">
        <f t="shared" si="15"/>
        <v>0</v>
      </c>
      <c r="O29" s="97">
        <v>-1250</v>
      </c>
      <c r="P29" s="97">
        <f t="shared" si="16"/>
        <v>-686</v>
      </c>
      <c r="Q29" s="59">
        <f t="shared" si="17"/>
        <v>-0.45120000000000005</v>
      </c>
      <c r="R29" s="98">
        <f t="shared" si="18"/>
        <v>564</v>
      </c>
      <c r="S29" s="97">
        <f t="shared" si="8"/>
        <v>2106</v>
      </c>
      <c r="T29" s="97">
        <v>-9159</v>
      </c>
      <c r="U29" s="59">
        <f t="shared" si="21"/>
        <v>-5.3490028490028489</v>
      </c>
      <c r="V29" s="98">
        <f t="shared" si="22"/>
        <v>-11265</v>
      </c>
      <c r="W29"/>
      <c r="X29" s="347"/>
      <c r="Y29"/>
    </row>
    <row r="30" spans="1:25" ht="15.75" customHeight="1" outlineLevel="1">
      <c r="A30" s="332"/>
      <c r="B30" s="333" t="s">
        <v>532</v>
      </c>
      <c r="C30" s="97">
        <v>-8683</v>
      </c>
      <c r="D30" s="97">
        <v>981</v>
      </c>
      <c r="E30" s="59">
        <f t="shared" si="19"/>
        <v>-1.1129793850051826</v>
      </c>
      <c r="F30" s="98">
        <f t="shared" si="20"/>
        <v>9664</v>
      </c>
      <c r="G30" s="97">
        <v>-4293</v>
      </c>
      <c r="H30" s="97">
        <f t="shared" si="0"/>
        <v>4750</v>
      </c>
      <c r="I30" s="59">
        <v>-2.265625</v>
      </c>
      <c r="J30" s="98">
        <v>-7685</v>
      </c>
      <c r="K30" s="97">
        <v>-3989</v>
      </c>
      <c r="L30" s="97">
        <v>-3989</v>
      </c>
      <c r="M30" s="59">
        <f t="shared" si="14"/>
        <v>0</v>
      </c>
      <c r="N30" s="98">
        <f t="shared" si="15"/>
        <v>0</v>
      </c>
      <c r="O30" s="97">
        <v>-5031</v>
      </c>
      <c r="P30" s="97">
        <f t="shared" si="16"/>
        <v>3989</v>
      </c>
      <c r="Q30" s="59">
        <f t="shared" si="17"/>
        <v>-1.7928841184655138</v>
      </c>
      <c r="R30" s="98">
        <f t="shared" si="18"/>
        <v>9020</v>
      </c>
      <c r="S30" s="97">
        <f t="shared" si="8"/>
        <v>-12976</v>
      </c>
      <c r="T30" s="97">
        <v>5731</v>
      </c>
      <c r="U30" s="59">
        <f t="shared" si="21"/>
        <v>-1.4416615289765722</v>
      </c>
      <c r="V30" s="98">
        <f t="shared" si="22"/>
        <v>18707</v>
      </c>
      <c r="W30"/>
      <c r="X30" s="347"/>
      <c r="Y30"/>
    </row>
    <row r="31" spans="1:25" ht="15.75" customHeight="1" outlineLevel="1">
      <c r="A31" s="332"/>
      <c r="B31" s="333" t="s">
        <v>533</v>
      </c>
      <c r="C31" s="97">
        <v>-4550</v>
      </c>
      <c r="D31" s="97">
        <v>-3616</v>
      </c>
      <c r="E31" s="59">
        <f t="shared" si="19"/>
        <v>-0.20527472527472523</v>
      </c>
      <c r="F31" s="98">
        <f t="shared" si="20"/>
        <v>934</v>
      </c>
      <c r="G31" s="97">
        <v>3352</v>
      </c>
      <c r="H31" s="97">
        <f t="shared" si="0"/>
        <v>1631</v>
      </c>
      <c r="I31" s="59">
        <v>-6.5514357401728507E-2</v>
      </c>
      <c r="J31" s="98">
        <v>-235</v>
      </c>
      <c r="K31" s="97">
        <v>2377</v>
      </c>
      <c r="L31" s="97">
        <v>2377</v>
      </c>
      <c r="M31" s="59">
        <f t="shared" si="14"/>
        <v>0</v>
      </c>
      <c r="N31" s="98">
        <f t="shared" si="15"/>
        <v>0</v>
      </c>
      <c r="O31" s="97">
        <v>-1482</v>
      </c>
      <c r="P31" s="97">
        <f t="shared" si="16"/>
        <v>-2377</v>
      </c>
      <c r="Q31" s="59">
        <f t="shared" si="17"/>
        <v>0.60391363022941968</v>
      </c>
      <c r="R31" s="98">
        <f t="shared" si="18"/>
        <v>-895</v>
      </c>
      <c r="S31" s="97">
        <f t="shared" si="8"/>
        <v>-1198</v>
      </c>
      <c r="T31" s="97">
        <v>-1985</v>
      </c>
      <c r="U31" s="59">
        <f t="shared" si="21"/>
        <v>0.65692821368948251</v>
      </c>
      <c r="V31" s="98">
        <f t="shared" si="22"/>
        <v>-787</v>
      </c>
      <c r="W31" s="314"/>
      <c r="X31" s="347"/>
      <c r="Y31" s="314"/>
    </row>
    <row r="32" spans="1:25" ht="15.75" customHeight="1" outlineLevel="1">
      <c r="A32" s="332"/>
      <c r="B32" s="333" t="s">
        <v>534</v>
      </c>
      <c r="C32" s="97">
        <v>2944</v>
      </c>
      <c r="D32" s="97">
        <v>-124</v>
      </c>
      <c r="E32" s="59">
        <f t="shared" si="19"/>
        <v>-1.0421195652173914</v>
      </c>
      <c r="F32" s="98">
        <f t="shared" si="20"/>
        <v>-3068</v>
      </c>
      <c r="G32" s="97">
        <v>-4898</v>
      </c>
      <c r="H32" s="97">
        <f t="shared" si="0"/>
        <v>-509</v>
      </c>
      <c r="I32" s="59">
        <v>0.72829922371206779</v>
      </c>
      <c r="J32" s="98">
        <v>-2064</v>
      </c>
      <c r="K32" s="97">
        <v>508</v>
      </c>
      <c r="L32" s="97">
        <v>508</v>
      </c>
      <c r="M32" s="59">
        <f t="shared" si="14"/>
        <v>0</v>
      </c>
      <c r="N32" s="98">
        <f t="shared" si="15"/>
        <v>0</v>
      </c>
      <c r="O32" s="97">
        <v>-4635</v>
      </c>
      <c r="P32" s="97">
        <f t="shared" si="16"/>
        <v>-508</v>
      </c>
      <c r="Q32" s="59">
        <f t="shared" si="17"/>
        <v>-0.89039913700107876</v>
      </c>
      <c r="R32" s="98">
        <f t="shared" si="18"/>
        <v>4127</v>
      </c>
      <c r="S32" s="97">
        <f t="shared" si="8"/>
        <v>-1954</v>
      </c>
      <c r="T32" s="97">
        <v>-633</v>
      </c>
      <c r="U32" s="59">
        <f t="shared" si="21"/>
        <v>-0.67604912998976463</v>
      </c>
      <c r="V32" s="98">
        <f t="shared" si="22"/>
        <v>1321</v>
      </c>
      <c r="W32"/>
      <c r="X32" s="347"/>
      <c r="Y32"/>
    </row>
    <row r="33" spans="1:25" ht="15.75" customHeight="1" outlineLevel="1">
      <c r="A33" s="332"/>
      <c r="B33" s="333" t="s">
        <v>535</v>
      </c>
      <c r="C33" s="97">
        <v>-5285</v>
      </c>
      <c r="D33" s="97">
        <v>-4949</v>
      </c>
      <c r="E33" s="59">
        <f>D33/C33-1</f>
        <v>-6.3576158940397365E-2</v>
      </c>
      <c r="F33" s="98">
        <f>D33-C33</f>
        <v>336</v>
      </c>
      <c r="G33" s="97">
        <v>-6528</v>
      </c>
      <c r="H33" s="97">
        <f t="shared" si="0"/>
        <v>-4596</v>
      </c>
      <c r="I33" s="59">
        <v>0.31958762886597936</v>
      </c>
      <c r="J33" s="98">
        <v>-1581</v>
      </c>
      <c r="K33" s="97">
        <v>-6338</v>
      </c>
      <c r="L33" s="97">
        <v>-6338</v>
      </c>
      <c r="M33" s="59">
        <f t="shared" si="14"/>
        <v>0</v>
      </c>
      <c r="N33" s="98">
        <f t="shared" si="15"/>
        <v>0</v>
      </c>
      <c r="O33" s="97">
        <v>-6338</v>
      </c>
      <c r="P33" s="97">
        <f t="shared" si="16"/>
        <v>6338</v>
      </c>
      <c r="Q33" s="59">
        <f t="shared" si="17"/>
        <v>-2</v>
      </c>
      <c r="R33" s="98">
        <f t="shared" si="18"/>
        <v>12676</v>
      </c>
      <c r="S33" s="97">
        <f t="shared" si="8"/>
        <v>-11813</v>
      </c>
      <c r="T33" s="97">
        <v>-9545</v>
      </c>
      <c r="U33" s="59">
        <f t="shared" si="21"/>
        <v>-0.19199187335985779</v>
      </c>
      <c r="V33" s="98">
        <f t="shared" si="22"/>
        <v>2268</v>
      </c>
      <c r="W33"/>
      <c r="X33" s="347"/>
      <c r="Y33"/>
    </row>
    <row r="34" spans="1:25" ht="15.75" customHeight="1" outlineLevel="1">
      <c r="A34" s="332"/>
      <c r="B34" s="333" t="s">
        <v>536</v>
      </c>
      <c r="C34" s="97">
        <v>-481</v>
      </c>
      <c r="D34" s="97">
        <v>0</v>
      </c>
      <c r="E34" s="59"/>
      <c r="F34" s="98">
        <f>D34-C34</f>
        <v>481</v>
      </c>
      <c r="G34" s="97">
        <v>-3533</v>
      </c>
      <c r="H34" s="97">
        <f t="shared" si="0"/>
        <v>-1384</v>
      </c>
      <c r="I34" s="59"/>
      <c r="J34" s="98">
        <v>-3533</v>
      </c>
      <c r="K34" s="97">
        <v>-1083</v>
      </c>
      <c r="L34" s="97">
        <v>-1083</v>
      </c>
      <c r="M34" s="59">
        <f t="shared" si="14"/>
        <v>0</v>
      </c>
      <c r="N34" s="98">
        <f t="shared" si="15"/>
        <v>0</v>
      </c>
      <c r="O34" s="97">
        <v>-3257</v>
      </c>
      <c r="P34" s="97">
        <f t="shared" si="16"/>
        <v>1083</v>
      </c>
      <c r="Q34" s="59">
        <f t="shared" si="17"/>
        <v>-1.3325145839729813</v>
      </c>
      <c r="R34" s="98">
        <f t="shared" si="18"/>
        <v>4340</v>
      </c>
      <c r="S34" s="97">
        <f t="shared" si="8"/>
        <v>-4014</v>
      </c>
      <c r="T34" s="97">
        <v>-1384</v>
      </c>
      <c r="U34" s="59">
        <f t="shared" si="21"/>
        <v>-0.65520677628300938</v>
      </c>
      <c r="V34" s="98">
        <f t="shared" si="22"/>
        <v>2630</v>
      </c>
      <c r="W34"/>
      <c r="X34" s="347"/>
      <c r="Y34"/>
    </row>
    <row r="35" spans="1:25" ht="15.75" customHeight="1">
      <c r="A35" s="334"/>
      <c r="B35" s="335" t="s">
        <v>525</v>
      </c>
      <c r="C35" s="15">
        <v>0</v>
      </c>
      <c r="D35" s="31">
        <v>0</v>
      </c>
      <c r="E35" s="71"/>
      <c r="F35" s="72"/>
      <c r="G35" s="97">
        <v>0</v>
      </c>
      <c r="H35" s="97">
        <f t="shared" si="0"/>
        <v>0</v>
      </c>
      <c r="I35" s="71"/>
      <c r="J35" s="72"/>
      <c r="K35" s="97">
        <v>0</v>
      </c>
      <c r="L35" s="97">
        <v>0</v>
      </c>
      <c r="M35" s="71" t="e">
        <f t="shared" si="14"/>
        <v>#DIV/0!</v>
      </c>
      <c r="N35" s="72">
        <f t="shared" si="15"/>
        <v>0</v>
      </c>
      <c r="O35" s="97">
        <v>0</v>
      </c>
      <c r="P35" s="97">
        <f>T35-D35-H35-L35</f>
        <v>0</v>
      </c>
      <c r="Q35" s="71" t="e">
        <f t="shared" si="17"/>
        <v>#DIV/0!</v>
      </c>
      <c r="R35" s="72">
        <f t="shared" si="18"/>
        <v>0</v>
      </c>
      <c r="S35" s="97">
        <f t="shared" si="8"/>
        <v>0</v>
      </c>
      <c r="T35" s="97">
        <v>0</v>
      </c>
      <c r="U35" s="71" t="str">
        <f t="shared" si="21"/>
        <v>-</v>
      </c>
      <c r="V35" s="72">
        <f t="shared" si="22"/>
        <v>0</v>
      </c>
      <c r="W35"/>
      <c r="X35" s="347"/>
      <c r="Y35"/>
    </row>
    <row r="36" spans="1:25" ht="15.75" customHeight="1" outlineLevel="1">
      <c r="A36" s="338" t="s">
        <v>537</v>
      </c>
      <c r="B36" s="339"/>
      <c r="C36" s="18">
        <v>2297</v>
      </c>
      <c r="D36" s="18">
        <v>21481</v>
      </c>
      <c r="E36" s="73">
        <f>D36/C36-1</f>
        <v>8.3517631693513277</v>
      </c>
      <c r="F36" s="99">
        <f>D36-C36</f>
        <v>19184</v>
      </c>
      <c r="G36" s="18">
        <v>-12875</v>
      </c>
      <c r="H36" s="18">
        <f t="shared" si="0"/>
        <v>19665</v>
      </c>
      <c r="I36" s="73">
        <v>-2.4868922508372791</v>
      </c>
      <c r="J36" s="99">
        <v>-21534</v>
      </c>
      <c r="K36" s="18">
        <v>27691</v>
      </c>
      <c r="L36" s="18">
        <v>27691</v>
      </c>
      <c r="M36" s="73">
        <f>L36/K36-1</f>
        <v>0</v>
      </c>
      <c r="N36" s="99">
        <f>L36-K36</f>
        <v>0</v>
      </c>
      <c r="O36" s="18">
        <v>25324</v>
      </c>
      <c r="P36" s="18">
        <f>SUM(P23:P35)</f>
        <v>-27691</v>
      </c>
      <c r="Q36" s="73">
        <f>P36/O36-1</f>
        <v>-2.0934686463433896</v>
      </c>
      <c r="R36" s="99">
        <f>P36-O36</f>
        <v>-53015</v>
      </c>
      <c r="S36" s="18">
        <f>SUM(S23:S35)</f>
        <v>-10578</v>
      </c>
      <c r="T36" s="18">
        <f>SUM(T23:T35)</f>
        <v>41146</v>
      </c>
      <c r="U36" s="73">
        <f t="shared" si="21"/>
        <v>-4.8897712232936286</v>
      </c>
      <c r="V36" s="99">
        <f t="shared" si="22"/>
        <v>51724</v>
      </c>
      <c r="W36"/>
      <c r="X36" s="347"/>
      <c r="Y36"/>
    </row>
    <row r="37" spans="1:25" ht="15.75" customHeight="1" outlineLevel="1">
      <c r="A37" s="332" t="s">
        <v>538</v>
      </c>
      <c r="B37" s="333"/>
      <c r="C37" s="14"/>
      <c r="D37" s="25"/>
      <c r="E37" s="59"/>
      <c r="F37" s="60"/>
      <c r="G37" s="25"/>
      <c r="H37" s="25">
        <f t="shared" si="0"/>
        <v>0</v>
      </c>
      <c r="I37" s="59"/>
      <c r="J37" s="60"/>
      <c r="K37" s="25"/>
      <c r="L37" s="25"/>
      <c r="M37" s="59"/>
      <c r="N37" s="60"/>
      <c r="O37" s="25"/>
      <c r="P37" s="25"/>
      <c r="Q37" s="59"/>
      <c r="R37" s="60"/>
      <c r="S37" s="25">
        <f t="shared" si="8"/>
        <v>0</v>
      </c>
      <c r="T37" s="25"/>
      <c r="U37" s="59"/>
      <c r="V37" s="60"/>
      <c r="W37"/>
      <c r="X37" s="347"/>
      <c r="Y37"/>
    </row>
    <row r="38" spans="1:25" ht="15.75" customHeight="1" outlineLevel="1">
      <c r="A38" s="332"/>
      <c r="B38" s="333" t="s">
        <v>404</v>
      </c>
      <c r="C38" s="102">
        <v>672</v>
      </c>
      <c r="D38" s="102">
        <v>0</v>
      </c>
      <c r="E38" s="59">
        <f>D38/C38-1</f>
        <v>-1</v>
      </c>
      <c r="F38" s="98">
        <f>D38-C38</f>
        <v>-672</v>
      </c>
      <c r="G38" s="97">
        <v>0</v>
      </c>
      <c r="H38" s="97">
        <f t="shared" si="0"/>
        <v>0</v>
      </c>
      <c r="I38" s="59" t="e">
        <v>#DIV/0!</v>
      </c>
      <c r="J38" s="98">
        <v>0</v>
      </c>
      <c r="K38" s="97">
        <v>0</v>
      </c>
      <c r="L38" s="97">
        <v>0</v>
      </c>
      <c r="M38" s="59" t="e">
        <f t="shared" ref="M38:M46" si="23">L38/K38-1</f>
        <v>#DIV/0!</v>
      </c>
      <c r="N38" s="98">
        <f t="shared" ref="N38:N46" si="24">L38-K38</f>
        <v>0</v>
      </c>
      <c r="O38" s="97">
        <v>0</v>
      </c>
      <c r="P38" s="97">
        <f t="shared" ref="P38:P46" si="25">T38-D38-H38-L38</f>
        <v>0</v>
      </c>
      <c r="Q38" s="59" t="e">
        <f t="shared" ref="Q38:Q46" si="26">P38/O38-1</f>
        <v>#DIV/0!</v>
      </c>
      <c r="R38" s="98">
        <f t="shared" ref="R38:R46" si="27">P38-O38</f>
        <v>0</v>
      </c>
      <c r="S38" s="97">
        <f t="shared" si="8"/>
        <v>672</v>
      </c>
      <c r="T38" s="97">
        <v>0</v>
      </c>
      <c r="U38" s="59">
        <f t="shared" ref="U38:U47" si="28">IFERROR(T38/S38-1,"-")</f>
        <v>-1</v>
      </c>
      <c r="V38" s="98">
        <f t="shared" ref="V38:V47" si="29">T38-S38</f>
        <v>-672</v>
      </c>
      <c r="W38"/>
      <c r="X38" s="347"/>
      <c r="Y38"/>
    </row>
    <row r="39" spans="1:25" ht="15.75" customHeight="1" outlineLevel="1">
      <c r="A39" s="332"/>
      <c r="B39" s="333" t="s">
        <v>539</v>
      </c>
      <c r="C39" s="97">
        <v>0</v>
      </c>
      <c r="D39" s="102">
        <v>0</v>
      </c>
      <c r="E39" s="59"/>
      <c r="F39" s="98"/>
      <c r="G39" s="97">
        <v>0</v>
      </c>
      <c r="H39" s="97">
        <f t="shared" si="0"/>
        <v>0</v>
      </c>
      <c r="I39" s="59"/>
      <c r="J39" s="98"/>
      <c r="K39" s="97">
        <v>0</v>
      </c>
      <c r="L39" s="97">
        <v>0</v>
      </c>
      <c r="M39" s="59" t="e">
        <f t="shared" si="23"/>
        <v>#DIV/0!</v>
      </c>
      <c r="N39" s="98">
        <f t="shared" si="24"/>
        <v>0</v>
      </c>
      <c r="O39" s="97">
        <v>0</v>
      </c>
      <c r="P39" s="97">
        <f t="shared" si="25"/>
        <v>0</v>
      </c>
      <c r="Q39" s="59" t="e">
        <f t="shared" si="26"/>
        <v>#DIV/0!</v>
      </c>
      <c r="R39" s="98">
        <f t="shared" si="27"/>
        <v>0</v>
      </c>
      <c r="S39" s="97">
        <f t="shared" si="8"/>
        <v>0</v>
      </c>
      <c r="T39" s="97">
        <v>0</v>
      </c>
      <c r="U39" s="59" t="str">
        <f t="shared" si="28"/>
        <v>-</v>
      </c>
      <c r="V39" s="98">
        <f t="shared" si="29"/>
        <v>0</v>
      </c>
      <c r="W39"/>
      <c r="X39" s="347"/>
      <c r="Y39"/>
    </row>
    <row r="40" spans="1:25" ht="15.75" customHeight="1" outlineLevel="1">
      <c r="A40" s="332"/>
      <c r="B40" s="333" t="s">
        <v>540</v>
      </c>
      <c r="C40" s="97">
        <v>0</v>
      </c>
      <c r="D40" s="102"/>
      <c r="E40" s="59"/>
      <c r="F40" s="98"/>
      <c r="G40" s="97">
        <v>0</v>
      </c>
      <c r="H40" s="97">
        <f t="shared" si="0"/>
        <v>0</v>
      </c>
      <c r="I40" s="59"/>
      <c r="J40" s="98"/>
      <c r="K40" s="97">
        <v>0</v>
      </c>
      <c r="L40" s="97">
        <v>0</v>
      </c>
      <c r="M40" s="59" t="e">
        <f t="shared" si="23"/>
        <v>#DIV/0!</v>
      </c>
      <c r="N40" s="98">
        <f t="shared" si="24"/>
        <v>0</v>
      </c>
      <c r="O40" s="97">
        <v>0</v>
      </c>
      <c r="P40" s="97">
        <f t="shared" si="25"/>
        <v>0</v>
      </c>
      <c r="Q40" s="59" t="e">
        <f t="shared" si="26"/>
        <v>#DIV/0!</v>
      </c>
      <c r="R40" s="98">
        <f t="shared" si="27"/>
        <v>0</v>
      </c>
      <c r="S40" s="97">
        <f t="shared" si="8"/>
        <v>0</v>
      </c>
      <c r="T40" s="97"/>
      <c r="U40" s="59" t="str">
        <f t="shared" si="28"/>
        <v>-</v>
      </c>
      <c r="V40" s="98">
        <f t="shared" si="29"/>
        <v>0</v>
      </c>
      <c r="W40"/>
      <c r="X40" s="347"/>
      <c r="Y40"/>
    </row>
    <row r="41" spans="1:25" ht="15.75" customHeight="1" outlineLevel="1">
      <c r="A41" s="332"/>
      <c r="B41" s="333" t="s">
        <v>541</v>
      </c>
      <c r="C41" s="97">
        <v>0</v>
      </c>
      <c r="D41" s="102">
        <v>0</v>
      </c>
      <c r="E41" s="59" t="e">
        <f>D41/C41-1</f>
        <v>#DIV/0!</v>
      </c>
      <c r="F41" s="98">
        <f>D41-C41</f>
        <v>0</v>
      </c>
      <c r="G41" s="97">
        <v>0</v>
      </c>
      <c r="H41" s="97">
        <f t="shared" si="0"/>
        <v>0</v>
      </c>
      <c r="I41" s="59">
        <v>-1</v>
      </c>
      <c r="J41" s="98">
        <v>16</v>
      </c>
      <c r="K41" s="97">
        <v>0</v>
      </c>
      <c r="L41" s="97">
        <v>0</v>
      </c>
      <c r="M41" s="59" t="e">
        <f t="shared" si="23"/>
        <v>#DIV/0!</v>
      </c>
      <c r="N41" s="98">
        <f t="shared" si="24"/>
        <v>0</v>
      </c>
      <c r="O41" s="97">
        <v>0</v>
      </c>
      <c r="P41" s="97">
        <f t="shared" si="25"/>
        <v>0</v>
      </c>
      <c r="Q41" s="59" t="e">
        <f t="shared" si="26"/>
        <v>#DIV/0!</v>
      </c>
      <c r="R41" s="98">
        <f t="shared" si="27"/>
        <v>0</v>
      </c>
      <c r="S41" s="97">
        <f t="shared" si="8"/>
        <v>0</v>
      </c>
      <c r="T41" s="97">
        <v>0</v>
      </c>
      <c r="U41" s="59" t="str">
        <f t="shared" si="28"/>
        <v>-</v>
      </c>
      <c r="V41" s="98">
        <f t="shared" si="29"/>
        <v>0</v>
      </c>
      <c r="W41"/>
      <c r="X41" s="347"/>
      <c r="Y41"/>
    </row>
    <row r="42" spans="1:25" ht="15.75" customHeight="1" outlineLevel="1">
      <c r="A42" s="332"/>
      <c r="B42" s="333" t="s">
        <v>542</v>
      </c>
      <c r="C42" s="97">
        <v>-3</v>
      </c>
      <c r="D42" s="102">
        <v>0</v>
      </c>
      <c r="E42" s="59"/>
      <c r="F42" s="98"/>
      <c r="G42" s="97">
        <v>0</v>
      </c>
      <c r="H42" s="97">
        <f t="shared" si="0"/>
        <v>0</v>
      </c>
      <c r="I42" s="59"/>
      <c r="J42" s="98"/>
      <c r="K42" s="97">
        <v>0</v>
      </c>
      <c r="L42" s="97">
        <v>0</v>
      </c>
      <c r="M42" s="59" t="e">
        <f t="shared" si="23"/>
        <v>#DIV/0!</v>
      </c>
      <c r="N42" s="98">
        <f t="shared" si="24"/>
        <v>0</v>
      </c>
      <c r="O42" s="97">
        <v>0</v>
      </c>
      <c r="P42" s="97">
        <f t="shared" si="25"/>
        <v>0</v>
      </c>
      <c r="Q42" s="59" t="e">
        <f t="shared" si="26"/>
        <v>#DIV/0!</v>
      </c>
      <c r="R42" s="98">
        <f t="shared" si="27"/>
        <v>0</v>
      </c>
      <c r="S42" s="97">
        <f t="shared" si="8"/>
        <v>-3</v>
      </c>
      <c r="T42" s="97">
        <v>0</v>
      </c>
      <c r="U42" s="59">
        <f t="shared" si="28"/>
        <v>-1</v>
      </c>
      <c r="V42" s="98">
        <f t="shared" si="29"/>
        <v>3</v>
      </c>
      <c r="W42"/>
      <c r="X42" s="347"/>
      <c r="Y42"/>
    </row>
    <row r="43" spans="1:25" ht="15.75" customHeight="1" outlineLevel="1">
      <c r="A43" s="332"/>
      <c r="B43" s="350" t="s">
        <v>543</v>
      </c>
      <c r="C43" s="97">
        <v>-1406</v>
      </c>
      <c r="D43" s="102">
        <v>-2160</v>
      </c>
      <c r="E43" s="59">
        <f>D43/C43-1</f>
        <v>0.5362731152204836</v>
      </c>
      <c r="F43" s="98">
        <f>D43-C43</f>
        <v>-754</v>
      </c>
      <c r="G43" s="97">
        <v>-482</v>
      </c>
      <c r="H43" s="97">
        <f t="shared" si="0"/>
        <v>-1054</v>
      </c>
      <c r="I43" s="59">
        <v>-4.9309664694280109E-2</v>
      </c>
      <c r="J43" s="98">
        <v>25</v>
      </c>
      <c r="K43" s="97">
        <v>-1859</v>
      </c>
      <c r="L43" s="97">
        <v>-1859</v>
      </c>
      <c r="M43" s="59">
        <f t="shared" si="23"/>
        <v>0</v>
      </c>
      <c r="N43" s="98">
        <f t="shared" si="24"/>
        <v>0</v>
      </c>
      <c r="O43" s="97">
        <v>-4089</v>
      </c>
      <c r="P43" s="97">
        <f t="shared" si="25"/>
        <v>1859</v>
      </c>
      <c r="Q43" s="59">
        <f t="shared" si="26"/>
        <v>-1.4546343849351919</v>
      </c>
      <c r="R43" s="98">
        <f t="shared" si="27"/>
        <v>5948</v>
      </c>
      <c r="S43" s="97">
        <f t="shared" si="8"/>
        <v>-1888</v>
      </c>
      <c r="T43" s="97">
        <v>-3214</v>
      </c>
      <c r="U43" s="59">
        <f t="shared" si="28"/>
        <v>0.70233050847457634</v>
      </c>
      <c r="V43" s="98">
        <f t="shared" si="29"/>
        <v>-1326</v>
      </c>
      <c r="W43"/>
      <c r="X43" s="347"/>
      <c r="Y43"/>
    </row>
    <row r="44" spans="1:25" ht="15.75" customHeight="1" outlineLevel="1">
      <c r="A44" s="332"/>
      <c r="B44" s="350" t="s">
        <v>544</v>
      </c>
      <c r="C44" s="97">
        <v>201</v>
      </c>
      <c r="D44" s="102">
        <v>92</v>
      </c>
      <c r="E44" s="59">
        <f>D44/C44-1</f>
        <v>-0.54228855721393032</v>
      </c>
      <c r="F44" s="98">
        <f>D44-C44</f>
        <v>-109</v>
      </c>
      <c r="G44" s="97">
        <v>178</v>
      </c>
      <c r="H44" s="97">
        <f t="shared" si="0"/>
        <v>5</v>
      </c>
      <c r="I44" s="59">
        <v>-0.15238095238095239</v>
      </c>
      <c r="J44" s="98">
        <v>-32</v>
      </c>
      <c r="K44" s="97">
        <v>4</v>
      </c>
      <c r="L44" s="97">
        <v>4</v>
      </c>
      <c r="M44" s="59">
        <f t="shared" si="23"/>
        <v>0</v>
      </c>
      <c r="N44" s="98">
        <f t="shared" si="24"/>
        <v>0</v>
      </c>
      <c r="O44" s="97">
        <v>254</v>
      </c>
      <c r="P44" s="97">
        <f t="shared" si="25"/>
        <v>-4</v>
      </c>
      <c r="Q44" s="59">
        <f t="shared" si="26"/>
        <v>-1.015748031496063</v>
      </c>
      <c r="R44" s="98">
        <f t="shared" si="27"/>
        <v>-258</v>
      </c>
      <c r="S44" s="97">
        <f t="shared" si="8"/>
        <v>379</v>
      </c>
      <c r="T44" s="97">
        <v>97</v>
      </c>
      <c r="U44" s="59">
        <f t="shared" si="28"/>
        <v>-0.74406332453825863</v>
      </c>
      <c r="V44" s="98">
        <f t="shared" si="29"/>
        <v>-282</v>
      </c>
      <c r="W44"/>
      <c r="X44" s="347"/>
      <c r="Y44"/>
    </row>
    <row r="45" spans="1:25" ht="15.75" customHeight="1">
      <c r="A45" s="332"/>
      <c r="B45" s="350" t="s">
        <v>545</v>
      </c>
      <c r="C45" s="97">
        <v>-440</v>
      </c>
      <c r="D45" s="102">
        <v>-644</v>
      </c>
      <c r="E45" s="59">
        <f>D45/C45-1</f>
        <v>0.46363636363636362</v>
      </c>
      <c r="F45" s="98">
        <f>D45-C45</f>
        <v>-204</v>
      </c>
      <c r="G45" s="97">
        <v>-726</v>
      </c>
      <c r="H45" s="97">
        <f t="shared" si="0"/>
        <v>-1197</v>
      </c>
      <c r="I45" s="59">
        <v>-0.26961770623742454</v>
      </c>
      <c r="J45" s="98">
        <v>268</v>
      </c>
      <c r="K45" s="97">
        <v>-577</v>
      </c>
      <c r="L45" s="97">
        <v>-577</v>
      </c>
      <c r="M45" s="59">
        <f t="shared" si="23"/>
        <v>0</v>
      </c>
      <c r="N45" s="98">
        <f t="shared" si="24"/>
        <v>0</v>
      </c>
      <c r="O45" s="97">
        <v>-1947</v>
      </c>
      <c r="P45" s="97">
        <f t="shared" si="25"/>
        <v>577</v>
      </c>
      <c r="Q45" s="59">
        <f t="shared" si="26"/>
        <v>-1.2963533641499743</v>
      </c>
      <c r="R45" s="98">
        <f t="shared" si="27"/>
        <v>2524</v>
      </c>
      <c r="S45" s="97">
        <f t="shared" si="8"/>
        <v>-1166</v>
      </c>
      <c r="T45" s="97">
        <v>-1841</v>
      </c>
      <c r="U45" s="59">
        <f t="shared" si="28"/>
        <v>0.57890222984562612</v>
      </c>
      <c r="V45" s="98">
        <f t="shared" si="29"/>
        <v>-675</v>
      </c>
      <c r="W45"/>
      <c r="X45" s="347"/>
      <c r="Y45"/>
    </row>
    <row r="46" spans="1:25" ht="15.75" customHeight="1" outlineLevel="1">
      <c r="A46" s="332"/>
      <c r="B46" s="333" t="s">
        <v>546</v>
      </c>
      <c r="C46" s="97">
        <v>0</v>
      </c>
      <c r="D46" s="97"/>
      <c r="E46" s="59"/>
      <c r="F46" s="98"/>
      <c r="G46" s="97">
        <v>0</v>
      </c>
      <c r="H46" s="97">
        <f t="shared" si="0"/>
        <v>0</v>
      </c>
      <c r="I46" s="59"/>
      <c r="J46" s="98"/>
      <c r="K46" s="97">
        <v>0</v>
      </c>
      <c r="L46" s="97">
        <v>0</v>
      </c>
      <c r="M46" s="59" t="e">
        <f t="shared" si="23"/>
        <v>#DIV/0!</v>
      </c>
      <c r="N46" s="98">
        <f t="shared" si="24"/>
        <v>0</v>
      </c>
      <c r="O46" s="97">
        <v>0</v>
      </c>
      <c r="P46" s="97">
        <f t="shared" si="25"/>
        <v>0</v>
      </c>
      <c r="Q46" s="59" t="e">
        <f t="shared" si="26"/>
        <v>#DIV/0!</v>
      </c>
      <c r="R46" s="98">
        <f t="shared" si="27"/>
        <v>0</v>
      </c>
      <c r="S46" s="97">
        <f t="shared" si="8"/>
        <v>0</v>
      </c>
      <c r="T46" s="97"/>
      <c r="U46" s="59" t="str">
        <f t="shared" si="28"/>
        <v>-</v>
      </c>
      <c r="V46" s="98">
        <f t="shared" si="29"/>
        <v>0</v>
      </c>
      <c r="W46"/>
      <c r="X46" s="347"/>
      <c r="Y46"/>
    </row>
    <row r="47" spans="1:25" ht="15.75" customHeight="1" outlineLevel="1">
      <c r="A47" s="338" t="s">
        <v>547</v>
      </c>
      <c r="B47" s="339"/>
      <c r="C47" s="18">
        <v>-976</v>
      </c>
      <c r="D47" s="18">
        <v>-2712</v>
      </c>
      <c r="E47" s="73">
        <f>D47/C47-1</f>
        <v>1.778688524590164</v>
      </c>
      <c r="F47" s="99">
        <f>D47-C47</f>
        <v>-1736</v>
      </c>
      <c r="G47" s="18">
        <v>-1030</v>
      </c>
      <c r="H47" s="18">
        <f t="shared" si="0"/>
        <v>-2246</v>
      </c>
      <c r="I47" s="73">
        <v>-0.21193573068094873</v>
      </c>
      <c r="J47" s="99">
        <v>277</v>
      </c>
      <c r="K47" s="18">
        <v>-2432</v>
      </c>
      <c r="L47" s="18">
        <v>-2432</v>
      </c>
      <c r="M47" s="73">
        <f>L47/K47-1</f>
        <v>0</v>
      </c>
      <c r="N47" s="99">
        <f>L47-K47</f>
        <v>0</v>
      </c>
      <c r="O47" s="18">
        <v>-5782</v>
      </c>
      <c r="P47" s="18">
        <f t="shared" ref="P47" si="30">SUM(P38:P46)</f>
        <v>2432</v>
      </c>
      <c r="Q47" s="73">
        <f>P47/O47-1</f>
        <v>-1.4206157039086822</v>
      </c>
      <c r="R47" s="99">
        <f>P47-O47</f>
        <v>8214</v>
      </c>
      <c r="S47" s="18">
        <f>SUM(S38:S46)</f>
        <v>-2006</v>
      </c>
      <c r="T47" s="18">
        <f>SUM(T38:T46)</f>
        <v>-4958</v>
      </c>
      <c r="U47" s="73">
        <f t="shared" si="28"/>
        <v>1.4715852442671986</v>
      </c>
      <c r="V47" s="99">
        <f t="shared" si="29"/>
        <v>-2952</v>
      </c>
      <c r="W47"/>
      <c r="X47" s="347"/>
      <c r="Y47"/>
    </row>
    <row r="48" spans="1:25" ht="15.75" customHeight="1" outlineLevel="1">
      <c r="A48" s="332" t="s">
        <v>548</v>
      </c>
      <c r="B48" s="333"/>
      <c r="C48" s="20"/>
      <c r="D48" s="25"/>
      <c r="E48" s="59"/>
      <c r="F48" s="60"/>
      <c r="G48" s="31"/>
      <c r="H48" s="31">
        <f t="shared" si="0"/>
        <v>0</v>
      </c>
      <c r="I48" s="59"/>
      <c r="J48" s="60"/>
      <c r="K48" s="31"/>
      <c r="L48" s="31"/>
      <c r="M48" s="59"/>
      <c r="N48" s="60"/>
      <c r="O48" s="31"/>
      <c r="P48" s="31"/>
      <c r="Q48" s="59"/>
      <c r="R48" s="60"/>
      <c r="S48" s="97">
        <f t="shared" si="8"/>
        <v>0</v>
      </c>
      <c r="T48" s="97"/>
      <c r="U48" s="59"/>
      <c r="V48" s="60"/>
      <c r="W48"/>
      <c r="X48" s="347"/>
      <c r="Y48"/>
    </row>
    <row r="49" spans="1:25" s="103" customFormat="1" ht="15.75" customHeight="1" outlineLevel="1">
      <c r="A49" s="349"/>
      <c r="B49" s="350" t="s">
        <v>549</v>
      </c>
      <c r="C49" s="97">
        <v>-1389</v>
      </c>
      <c r="D49" s="25">
        <v>-11638</v>
      </c>
      <c r="E49" s="59"/>
      <c r="F49" s="98">
        <f>D49-C49</f>
        <v>-10249</v>
      </c>
      <c r="G49" s="97">
        <v>-3411</v>
      </c>
      <c r="H49" s="97">
        <f t="shared" si="0"/>
        <v>-2932</v>
      </c>
      <c r="I49" s="59"/>
      <c r="J49" s="98">
        <v>-3411</v>
      </c>
      <c r="K49" s="97">
        <v>-3053</v>
      </c>
      <c r="L49" s="97">
        <v>-3053</v>
      </c>
      <c r="M49" s="59">
        <f t="shared" ref="M49:M59" si="31">L49/K49-1</f>
        <v>0</v>
      </c>
      <c r="N49" s="98">
        <f t="shared" ref="N49:N59" si="32">L49-K49</f>
        <v>0</v>
      </c>
      <c r="O49" s="97">
        <v>0</v>
      </c>
      <c r="P49" s="97">
        <f t="shared" ref="P49:P59" si="33">T49-D49-H49-L49</f>
        <v>3053</v>
      </c>
      <c r="Q49" s="59" t="e">
        <f t="shared" ref="Q49:Q59" si="34">P49/O49-1</f>
        <v>#DIV/0!</v>
      </c>
      <c r="R49" s="98">
        <f t="shared" ref="R49:R59" si="35">P49-O49</f>
        <v>3053</v>
      </c>
      <c r="S49" s="97">
        <f t="shared" si="8"/>
        <v>-4800</v>
      </c>
      <c r="T49" s="97">
        <v>-14570</v>
      </c>
      <c r="U49" s="59">
        <f t="shared" ref="U49:U61" si="36">IFERROR(T49/S49-1,"-")</f>
        <v>2.0354166666666669</v>
      </c>
      <c r="V49" s="98">
        <f t="shared" ref="V49:V61" si="37">T49-S49</f>
        <v>-9770</v>
      </c>
      <c r="W49"/>
      <c r="X49" s="347"/>
      <c r="Y49"/>
    </row>
    <row r="50" spans="1:25" ht="15.75" customHeight="1" outlineLevel="1">
      <c r="A50" s="332"/>
      <c r="B50" s="333" t="s">
        <v>550</v>
      </c>
      <c r="C50" s="97">
        <v>-636</v>
      </c>
      <c r="D50" s="25">
        <v>0</v>
      </c>
      <c r="E50" s="59"/>
      <c r="F50" s="98">
        <f>D50-C50</f>
        <v>636</v>
      </c>
      <c r="G50" s="97">
        <v>0</v>
      </c>
      <c r="H50" s="97">
        <f t="shared" si="0"/>
        <v>0</v>
      </c>
      <c r="I50" s="59"/>
      <c r="J50" s="98">
        <v>0</v>
      </c>
      <c r="K50" s="97">
        <v>0</v>
      </c>
      <c r="L50" s="97">
        <v>0</v>
      </c>
      <c r="M50" s="59" t="e">
        <f t="shared" si="31"/>
        <v>#DIV/0!</v>
      </c>
      <c r="N50" s="98">
        <f t="shared" si="32"/>
        <v>0</v>
      </c>
      <c r="O50" s="97">
        <v>0</v>
      </c>
      <c r="P50" s="97">
        <f t="shared" si="33"/>
        <v>0</v>
      </c>
      <c r="Q50" s="59" t="e">
        <f t="shared" si="34"/>
        <v>#DIV/0!</v>
      </c>
      <c r="R50" s="98">
        <f t="shared" si="35"/>
        <v>0</v>
      </c>
      <c r="S50" s="97">
        <f t="shared" si="8"/>
        <v>-636</v>
      </c>
      <c r="T50" s="97">
        <v>0</v>
      </c>
      <c r="U50" s="59">
        <f t="shared" si="36"/>
        <v>-1</v>
      </c>
      <c r="V50" s="98">
        <f t="shared" si="37"/>
        <v>636</v>
      </c>
      <c r="W50"/>
      <c r="X50" s="347"/>
      <c r="Y50"/>
    </row>
    <row r="51" spans="1:25" ht="15.75" customHeight="1" outlineLevel="1">
      <c r="A51" s="332"/>
      <c r="B51" s="333" t="s">
        <v>551</v>
      </c>
      <c r="C51" s="97">
        <v>0</v>
      </c>
      <c r="D51" s="25"/>
      <c r="E51" s="59"/>
      <c r="F51" s="98"/>
      <c r="G51" s="97">
        <v>0</v>
      </c>
      <c r="H51" s="97">
        <f t="shared" si="0"/>
        <v>0</v>
      </c>
      <c r="I51" s="59"/>
      <c r="J51" s="98"/>
      <c r="K51" s="97">
        <v>0</v>
      </c>
      <c r="L51" s="97">
        <v>0</v>
      </c>
      <c r="M51" s="59" t="e">
        <f t="shared" si="31"/>
        <v>#DIV/0!</v>
      </c>
      <c r="N51" s="98">
        <f t="shared" si="32"/>
        <v>0</v>
      </c>
      <c r="O51" s="97">
        <v>0</v>
      </c>
      <c r="P51" s="97">
        <f t="shared" si="33"/>
        <v>0</v>
      </c>
      <c r="Q51" s="59" t="e">
        <f t="shared" si="34"/>
        <v>#DIV/0!</v>
      </c>
      <c r="R51" s="98">
        <f t="shared" si="35"/>
        <v>0</v>
      </c>
      <c r="S51" s="97">
        <f t="shared" si="8"/>
        <v>0</v>
      </c>
      <c r="T51" s="97"/>
      <c r="U51" s="59" t="str">
        <f t="shared" si="36"/>
        <v>-</v>
      </c>
      <c r="V51" s="98">
        <f t="shared" si="37"/>
        <v>0</v>
      </c>
      <c r="W51"/>
      <c r="X51" s="347"/>
      <c r="Y51"/>
    </row>
    <row r="52" spans="1:25" ht="15.75" customHeight="1" outlineLevel="1">
      <c r="A52" s="332"/>
      <c r="B52" s="333" t="s">
        <v>552</v>
      </c>
      <c r="C52" s="97">
        <v>-5999</v>
      </c>
      <c r="D52" s="25">
        <v>-5999</v>
      </c>
      <c r="E52" s="59"/>
      <c r="F52" s="98">
        <f>D52-C52</f>
        <v>0</v>
      </c>
      <c r="G52" s="97">
        <v>0</v>
      </c>
      <c r="H52" s="97">
        <f t="shared" si="0"/>
        <v>0</v>
      </c>
      <c r="I52" s="59"/>
      <c r="J52" s="98">
        <v>0</v>
      </c>
      <c r="K52" s="97">
        <v>0</v>
      </c>
      <c r="L52" s="97">
        <v>0</v>
      </c>
      <c r="M52" s="59" t="e">
        <f t="shared" si="31"/>
        <v>#DIV/0!</v>
      </c>
      <c r="N52" s="98">
        <f t="shared" si="32"/>
        <v>0</v>
      </c>
      <c r="O52" s="97">
        <v>0</v>
      </c>
      <c r="P52" s="97">
        <f t="shared" si="33"/>
        <v>0</v>
      </c>
      <c r="Q52" s="59" t="e">
        <f t="shared" si="34"/>
        <v>#DIV/0!</v>
      </c>
      <c r="R52" s="98">
        <f t="shared" si="35"/>
        <v>0</v>
      </c>
      <c r="S52" s="97">
        <f t="shared" si="8"/>
        <v>-5999</v>
      </c>
      <c r="T52" s="97">
        <v>-5999</v>
      </c>
      <c r="U52" s="59">
        <f t="shared" si="36"/>
        <v>0</v>
      </c>
      <c r="V52" s="98">
        <f t="shared" si="37"/>
        <v>0</v>
      </c>
      <c r="W52"/>
      <c r="X52" s="347"/>
      <c r="Y52"/>
    </row>
    <row r="53" spans="1:25" ht="15.75" customHeight="1" outlineLevel="1">
      <c r="A53" s="332"/>
      <c r="B53" s="333" t="s">
        <v>542</v>
      </c>
      <c r="C53" s="97">
        <v>-66</v>
      </c>
      <c r="D53" s="25">
        <v>-168</v>
      </c>
      <c r="E53" s="59"/>
      <c r="F53" s="98"/>
      <c r="G53" s="97">
        <v>138</v>
      </c>
      <c r="H53" s="97">
        <f t="shared" si="0"/>
        <v>99</v>
      </c>
      <c r="I53" s="59"/>
      <c r="J53" s="98"/>
      <c r="K53" s="97">
        <v>-951</v>
      </c>
      <c r="L53" s="97">
        <v>-951</v>
      </c>
      <c r="M53" s="59">
        <f t="shared" si="31"/>
        <v>0</v>
      </c>
      <c r="N53" s="98">
        <f t="shared" si="32"/>
        <v>0</v>
      </c>
      <c r="O53" s="97">
        <v>1091</v>
      </c>
      <c r="P53" s="97">
        <f t="shared" si="33"/>
        <v>951</v>
      </c>
      <c r="Q53" s="59">
        <f t="shared" si="34"/>
        <v>-0.12832263978001834</v>
      </c>
      <c r="R53" s="98">
        <f t="shared" si="35"/>
        <v>-140</v>
      </c>
      <c r="S53" s="97">
        <f t="shared" si="8"/>
        <v>72</v>
      </c>
      <c r="T53" s="97">
        <v>-69</v>
      </c>
      <c r="U53" s="59">
        <f t="shared" si="36"/>
        <v>-1.9583333333333335</v>
      </c>
      <c r="V53" s="98">
        <f t="shared" si="37"/>
        <v>-141</v>
      </c>
      <c r="W53"/>
      <c r="X53" s="347"/>
      <c r="Y53"/>
    </row>
    <row r="54" spans="1:25" ht="15.75" customHeight="1" outlineLevel="1">
      <c r="A54" s="332"/>
      <c r="B54" s="333" t="s">
        <v>481</v>
      </c>
      <c r="C54" s="97">
        <v>0</v>
      </c>
      <c r="D54" s="25">
        <v>0</v>
      </c>
      <c r="E54" s="59" t="e">
        <f>D54/C54-1</f>
        <v>#DIV/0!</v>
      </c>
      <c r="F54" s="98">
        <f>D54-C54</f>
        <v>0</v>
      </c>
      <c r="G54" s="97">
        <v>0</v>
      </c>
      <c r="H54" s="97">
        <f t="shared" si="0"/>
        <v>0</v>
      </c>
      <c r="I54" s="59" t="e">
        <v>#DIV/0!</v>
      </c>
      <c r="J54" s="98">
        <v>0</v>
      </c>
      <c r="K54" s="97">
        <v>0</v>
      </c>
      <c r="L54" s="97">
        <v>0</v>
      </c>
      <c r="M54" s="59" t="e">
        <f t="shared" si="31"/>
        <v>#DIV/0!</v>
      </c>
      <c r="N54" s="98">
        <f t="shared" si="32"/>
        <v>0</v>
      </c>
      <c r="O54" s="97">
        <v>0</v>
      </c>
      <c r="P54" s="97">
        <f t="shared" si="33"/>
        <v>0</v>
      </c>
      <c r="Q54" s="59" t="e">
        <f t="shared" si="34"/>
        <v>#DIV/0!</v>
      </c>
      <c r="R54" s="98">
        <f t="shared" si="35"/>
        <v>0</v>
      </c>
      <c r="S54" s="97">
        <f t="shared" si="8"/>
        <v>0</v>
      </c>
      <c r="T54" s="97">
        <v>0</v>
      </c>
      <c r="U54" s="59" t="str">
        <f t="shared" si="36"/>
        <v>-</v>
      </c>
      <c r="V54" s="98">
        <f t="shared" si="37"/>
        <v>0</v>
      </c>
      <c r="W54"/>
      <c r="X54" s="347"/>
      <c r="Y54"/>
    </row>
    <row r="55" spans="1:25" ht="15.75" customHeight="1">
      <c r="A55" s="332"/>
      <c r="B55" s="333" t="s">
        <v>553</v>
      </c>
      <c r="C55" s="97">
        <v>-2238</v>
      </c>
      <c r="D55" s="97">
        <v>-3877</v>
      </c>
      <c r="E55" s="59">
        <f>D55/C55-1</f>
        <v>0.73235031277926721</v>
      </c>
      <c r="F55" s="98">
        <f>D55-C55</f>
        <v>-1639</v>
      </c>
      <c r="G55" s="97">
        <v>-1871</v>
      </c>
      <c r="H55" s="97">
        <f t="shared" si="0"/>
        <v>-7126</v>
      </c>
      <c r="I55" s="59">
        <v>0.77178030303030298</v>
      </c>
      <c r="J55" s="98">
        <v>-815</v>
      </c>
      <c r="K55" s="97">
        <v>-2416</v>
      </c>
      <c r="L55" s="97">
        <v>-2416</v>
      </c>
      <c r="M55" s="59">
        <f t="shared" si="31"/>
        <v>0</v>
      </c>
      <c r="N55" s="98">
        <f t="shared" si="32"/>
        <v>0</v>
      </c>
      <c r="O55" s="97">
        <v>-2712</v>
      </c>
      <c r="P55" s="97">
        <f t="shared" si="33"/>
        <v>2416</v>
      </c>
      <c r="Q55" s="59">
        <f t="shared" si="34"/>
        <v>-1.8908554572271385</v>
      </c>
      <c r="R55" s="98">
        <f t="shared" si="35"/>
        <v>5128</v>
      </c>
      <c r="S55" s="97">
        <f t="shared" si="8"/>
        <v>-4109</v>
      </c>
      <c r="T55" s="97">
        <v>-11003</v>
      </c>
      <c r="U55" s="59">
        <f t="shared" si="36"/>
        <v>1.677780481869068</v>
      </c>
      <c r="V55" s="98">
        <f t="shared" si="37"/>
        <v>-6894</v>
      </c>
      <c r="W55"/>
      <c r="X55" s="347"/>
      <c r="Y55"/>
    </row>
    <row r="56" spans="1:25" ht="15.75" customHeight="1">
      <c r="A56" s="332"/>
      <c r="B56" s="333" t="s">
        <v>554</v>
      </c>
      <c r="C56" s="25">
        <v>0</v>
      </c>
      <c r="D56" s="97">
        <v>0</v>
      </c>
      <c r="E56" s="59"/>
      <c r="F56" s="98">
        <f>D56-C56</f>
        <v>0</v>
      </c>
      <c r="G56" s="97">
        <v>0</v>
      </c>
      <c r="H56" s="97">
        <f t="shared" si="0"/>
        <v>0</v>
      </c>
      <c r="I56" s="59"/>
      <c r="J56" s="98"/>
      <c r="K56" s="97">
        <v>0</v>
      </c>
      <c r="L56" s="97">
        <v>0</v>
      </c>
      <c r="M56" s="59" t="e">
        <f t="shared" si="31"/>
        <v>#DIV/0!</v>
      </c>
      <c r="N56" s="98">
        <f t="shared" si="32"/>
        <v>0</v>
      </c>
      <c r="O56" s="97">
        <v>0</v>
      </c>
      <c r="P56" s="97">
        <f t="shared" si="33"/>
        <v>0</v>
      </c>
      <c r="Q56" s="59" t="e">
        <f t="shared" si="34"/>
        <v>#DIV/0!</v>
      </c>
      <c r="R56" s="98">
        <f t="shared" si="35"/>
        <v>0</v>
      </c>
      <c r="S56" s="97">
        <f t="shared" si="8"/>
        <v>0</v>
      </c>
      <c r="T56" s="97">
        <v>0</v>
      </c>
      <c r="U56" s="59" t="str">
        <f t="shared" si="36"/>
        <v>-</v>
      </c>
      <c r="V56" s="98">
        <f t="shared" si="37"/>
        <v>0</v>
      </c>
      <c r="W56"/>
      <c r="X56" s="347"/>
      <c r="Y56"/>
    </row>
    <row r="57" spans="1:25" ht="15.75" customHeight="1">
      <c r="A57" s="332"/>
      <c r="B57" s="333" t="s">
        <v>555</v>
      </c>
      <c r="C57" s="25">
        <v>-547</v>
      </c>
      <c r="D57" s="97">
        <v>-407</v>
      </c>
      <c r="E57" s="59"/>
      <c r="F57" s="98"/>
      <c r="G57" s="97">
        <v>-564</v>
      </c>
      <c r="H57" s="97">
        <f t="shared" si="0"/>
        <v>-353</v>
      </c>
      <c r="I57" s="59"/>
      <c r="J57" s="98"/>
      <c r="K57" s="97">
        <v>-568</v>
      </c>
      <c r="L57" s="97">
        <v>-568</v>
      </c>
      <c r="M57" s="59">
        <f t="shared" si="31"/>
        <v>0</v>
      </c>
      <c r="N57" s="98">
        <f t="shared" si="32"/>
        <v>0</v>
      </c>
      <c r="O57" s="97">
        <v>-423</v>
      </c>
      <c r="P57" s="97">
        <f t="shared" si="33"/>
        <v>568</v>
      </c>
      <c r="Q57" s="59">
        <f t="shared" si="34"/>
        <v>-2.3427895981087472</v>
      </c>
      <c r="R57" s="98">
        <f t="shared" si="35"/>
        <v>991</v>
      </c>
      <c r="S57" s="97">
        <f t="shared" si="8"/>
        <v>-1111</v>
      </c>
      <c r="T57" s="97">
        <v>-760</v>
      </c>
      <c r="U57" s="59">
        <f t="shared" si="36"/>
        <v>-0.31593159315931596</v>
      </c>
      <c r="V57" s="98">
        <f t="shared" si="37"/>
        <v>351</v>
      </c>
      <c r="W57"/>
      <c r="X57" s="347"/>
      <c r="Y57"/>
    </row>
    <row r="58" spans="1:25" ht="15.75" customHeight="1">
      <c r="A58" s="332"/>
      <c r="B58" s="333" t="s">
        <v>556</v>
      </c>
      <c r="C58" s="97"/>
      <c r="D58" s="97"/>
      <c r="E58" s="59"/>
      <c r="F58" s="60"/>
      <c r="G58" s="97">
        <v>0</v>
      </c>
      <c r="H58" s="97">
        <f t="shared" si="0"/>
        <v>0</v>
      </c>
      <c r="I58" s="59"/>
      <c r="J58" s="60"/>
      <c r="K58" s="97">
        <v>0</v>
      </c>
      <c r="L58" s="97">
        <v>0</v>
      </c>
      <c r="M58" s="59" t="e">
        <f t="shared" si="31"/>
        <v>#DIV/0!</v>
      </c>
      <c r="N58" s="60">
        <f t="shared" si="32"/>
        <v>0</v>
      </c>
      <c r="O58" s="97">
        <v>0</v>
      </c>
      <c r="P58" s="97">
        <f t="shared" si="33"/>
        <v>0</v>
      </c>
      <c r="Q58" s="59" t="e">
        <f t="shared" si="34"/>
        <v>#DIV/0!</v>
      </c>
      <c r="R58" s="60">
        <f t="shared" si="35"/>
        <v>0</v>
      </c>
      <c r="S58" s="97">
        <f t="shared" si="8"/>
        <v>0</v>
      </c>
      <c r="T58" s="97"/>
      <c r="U58" s="59" t="str">
        <f t="shared" si="36"/>
        <v>-</v>
      </c>
      <c r="V58" s="60">
        <f t="shared" si="37"/>
        <v>0</v>
      </c>
      <c r="W58"/>
      <c r="X58" s="347"/>
      <c r="Y58"/>
    </row>
    <row r="59" spans="1:25" ht="15.75" customHeight="1">
      <c r="A59" s="332" t="s">
        <v>557</v>
      </c>
      <c r="B59" s="333"/>
      <c r="C59" s="97"/>
      <c r="D59" s="97">
        <v>0</v>
      </c>
      <c r="E59" s="59"/>
      <c r="F59" s="60"/>
      <c r="G59" s="97">
        <v>2090</v>
      </c>
      <c r="H59" s="97">
        <f t="shared" si="0"/>
        <v>3201</v>
      </c>
      <c r="I59" s="59"/>
      <c r="J59" s="60"/>
      <c r="K59" s="97">
        <v>0</v>
      </c>
      <c r="L59" s="97">
        <v>0</v>
      </c>
      <c r="M59" s="59" t="e">
        <f t="shared" si="31"/>
        <v>#DIV/0!</v>
      </c>
      <c r="N59" s="60">
        <f t="shared" si="32"/>
        <v>0</v>
      </c>
      <c r="O59" s="97">
        <v>0</v>
      </c>
      <c r="P59" s="97">
        <f t="shared" si="33"/>
        <v>0</v>
      </c>
      <c r="Q59" s="59" t="e">
        <f t="shared" si="34"/>
        <v>#DIV/0!</v>
      </c>
      <c r="R59" s="60">
        <f t="shared" si="35"/>
        <v>0</v>
      </c>
      <c r="S59" s="97">
        <f t="shared" si="8"/>
        <v>2090</v>
      </c>
      <c r="T59" s="97">
        <v>3201</v>
      </c>
      <c r="U59" s="59"/>
      <c r="V59" s="60"/>
      <c r="W59"/>
      <c r="X59" s="347"/>
      <c r="Y59"/>
    </row>
    <row r="60" spans="1:25" ht="15.75" customHeight="1">
      <c r="A60" s="338"/>
      <c r="B60" s="339" t="s">
        <v>558</v>
      </c>
      <c r="C60" s="18">
        <v>-10875</v>
      </c>
      <c r="D60" s="18">
        <v>-22089</v>
      </c>
      <c r="E60" s="73">
        <f>D60/C60-1</f>
        <v>1.0311724137931035</v>
      </c>
      <c r="F60" s="74">
        <f>D60-C60</f>
        <v>-11214</v>
      </c>
      <c r="G60" s="18">
        <f>SUM(G49:G59)</f>
        <v>-3618</v>
      </c>
      <c r="H60" s="18">
        <f>SUM(H49:H59)</f>
        <v>-7111</v>
      </c>
      <c r="I60" s="73">
        <v>1.25</v>
      </c>
      <c r="J60" s="74">
        <v>-2010</v>
      </c>
      <c r="K60" s="18">
        <v>-6988</v>
      </c>
      <c r="L60" s="18">
        <v>-6988</v>
      </c>
      <c r="M60" s="73">
        <f>L60/K60-1</f>
        <v>0</v>
      </c>
      <c r="N60" s="74">
        <f>L60-K60</f>
        <v>0</v>
      </c>
      <c r="O60" s="18">
        <v>-2044</v>
      </c>
      <c r="P60" s="18">
        <f>SUM(P49:P58)</f>
        <v>6988</v>
      </c>
      <c r="Q60" s="73">
        <f>P60/O60-1</f>
        <v>-4.418786692759296</v>
      </c>
      <c r="R60" s="74">
        <f>P60-O60</f>
        <v>9032</v>
      </c>
      <c r="S60" s="18">
        <f>SUM(S49:S59)</f>
        <v>-14493</v>
      </c>
      <c r="T60" s="18">
        <f>SUM(T49:T59)</f>
        <v>-29200</v>
      </c>
      <c r="U60" s="73">
        <f t="shared" si="36"/>
        <v>1.0147657489822675</v>
      </c>
      <c r="V60" s="74">
        <f t="shared" si="37"/>
        <v>-14707</v>
      </c>
      <c r="W60"/>
      <c r="X60" s="347"/>
      <c r="Y60"/>
    </row>
    <row r="61" spans="1:25" ht="15.75" customHeight="1" thickBot="1">
      <c r="A61" s="340"/>
      <c r="B61" s="341" t="s">
        <v>28</v>
      </c>
      <c r="C61" s="21">
        <v>-9554</v>
      </c>
      <c r="D61" s="21">
        <v>-3320</v>
      </c>
      <c r="E61" s="75">
        <f>D61/C61-1</f>
        <v>-0.652501570023027</v>
      </c>
      <c r="F61" s="76">
        <f>D61-C61</f>
        <v>6234</v>
      </c>
      <c r="G61" s="21">
        <f>G60+G47+G36</f>
        <v>-17523</v>
      </c>
      <c r="H61" s="21">
        <f>H60+H47+H36</f>
        <v>10308</v>
      </c>
      <c r="I61" s="75">
        <v>-4.0506615598885798</v>
      </c>
      <c r="J61" s="76">
        <v>-23267</v>
      </c>
      <c r="K61" s="21">
        <v>18271</v>
      </c>
      <c r="L61" s="21">
        <v>18271</v>
      </c>
      <c r="M61" s="75">
        <f>L61/K61-1</f>
        <v>0</v>
      </c>
      <c r="N61" s="76">
        <f>L61-K61</f>
        <v>0</v>
      </c>
      <c r="O61" s="21">
        <v>17498</v>
      </c>
      <c r="P61" s="21">
        <f>P60+P47+P36</f>
        <v>-18271</v>
      </c>
      <c r="Q61" s="75">
        <f>P61/O61-1</f>
        <v>-2.0441764773116926</v>
      </c>
      <c r="R61" s="76">
        <f>P61-O61</f>
        <v>-35769</v>
      </c>
      <c r="S61" s="21">
        <f>S60+S47+S36</f>
        <v>-27077</v>
      </c>
      <c r="T61" s="21">
        <f>T60+T47+T36</f>
        <v>6988</v>
      </c>
      <c r="U61" s="75">
        <f t="shared" si="36"/>
        <v>-1.2580788122761015</v>
      </c>
      <c r="V61" s="76">
        <f t="shared" si="37"/>
        <v>34065</v>
      </c>
      <c r="W61"/>
      <c r="X61" s="347"/>
      <c r="Y61"/>
    </row>
    <row r="62" spans="1:25" ht="15.75" customHeight="1">
      <c r="A62" s="332"/>
      <c r="B62" s="333"/>
      <c r="C62" s="17"/>
      <c r="D62" s="25"/>
      <c r="E62" s="59"/>
      <c r="F62" s="60"/>
      <c r="G62" s="26"/>
      <c r="H62" s="17"/>
      <c r="I62" s="59"/>
      <c r="J62" s="60"/>
      <c r="K62" s="26"/>
      <c r="L62" s="17"/>
      <c r="M62" s="59"/>
      <c r="N62" s="60"/>
      <c r="O62" s="26"/>
      <c r="P62" s="17"/>
      <c r="Q62" s="59"/>
      <c r="R62" s="60"/>
      <c r="S62" s="26"/>
      <c r="T62" s="26"/>
      <c r="U62" s="59"/>
      <c r="V62" s="60"/>
      <c r="W62"/>
      <c r="X62" s="347"/>
      <c r="Y62"/>
    </row>
    <row r="63" spans="1:25" ht="15.75" customHeight="1">
      <c r="A63" s="332"/>
      <c r="B63" s="3" t="s">
        <v>406</v>
      </c>
      <c r="C63" s="30">
        <v>89633</v>
      </c>
      <c r="D63" s="308">
        <v>98325</v>
      </c>
      <c r="E63" s="77">
        <f>D63/C63-1</f>
        <v>9.6973212990751234E-2</v>
      </c>
      <c r="F63" s="98">
        <f>D63-C63</f>
        <v>8692</v>
      </c>
      <c r="G63" s="97">
        <f>C65</f>
        <v>80079</v>
      </c>
      <c r="H63" s="308">
        <f>D65</f>
        <v>95005</v>
      </c>
      <c r="I63" s="77">
        <v>-0.15224433622697442</v>
      </c>
      <c r="J63" s="98">
        <v>-14381</v>
      </c>
      <c r="K63" s="97">
        <v>62556</v>
      </c>
      <c r="L63" s="308">
        <v>62556</v>
      </c>
      <c r="M63" s="77">
        <f>L63/K63-1</f>
        <v>0</v>
      </c>
      <c r="N63" s="98">
        <f>L63-K63</f>
        <v>0</v>
      </c>
      <c r="O63" s="97">
        <v>80827</v>
      </c>
      <c r="P63" s="308">
        <f>L65</f>
        <v>80827</v>
      </c>
      <c r="Q63" s="77">
        <f>P63/O63-1</f>
        <v>0</v>
      </c>
      <c r="R63" s="98">
        <f>P63-O63</f>
        <v>0</v>
      </c>
      <c r="S63" s="97">
        <f>C63</f>
        <v>89633</v>
      </c>
      <c r="T63" s="97">
        <f>D63</f>
        <v>98325</v>
      </c>
      <c r="U63" s="77">
        <f>IFERROR(T63/S63-1,"-")</f>
        <v>9.6973212990751234E-2</v>
      </c>
      <c r="V63" s="98">
        <f>T63-S63</f>
        <v>8692</v>
      </c>
      <c r="W63"/>
      <c r="X63" s="347"/>
      <c r="Y63"/>
    </row>
    <row r="64" spans="1:25" ht="15.75" customHeight="1">
      <c r="A64" s="332"/>
      <c r="B64" s="333"/>
      <c r="C64" s="17"/>
      <c r="D64" s="25"/>
      <c r="E64" s="59"/>
      <c r="F64" s="60"/>
      <c r="G64" s="25"/>
      <c r="H64" s="17"/>
      <c r="I64" s="59"/>
      <c r="J64" s="60"/>
      <c r="K64" s="25"/>
      <c r="L64" s="17"/>
      <c r="M64" s="59"/>
      <c r="N64" s="60"/>
      <c r="O64" s="25"/>
      <c r="P64" s="17"/>
      <c r="Q64" s="59"/>
      <c r="R64" s="60"/>
      <c r="S64" s="25"/>
      <c r="T64" s="25"/>
      <c r="U64" s="59"/>
      <c r="V64" s="60"/>
      <c r="X64" s="347"/>
    </row>
    <row r="65" spans="1:24" ht="15.75" customHeight="1" thickBot="1">
      <c r="A65" s="336"/>
      <c r="B65" s="337" t="s">
        <v>407</v>
      </c>
      <c r="C65" s="22">
        <v>80079</v>
      </c>
      <c r="D65" s="22">
        <v>95005</v>
      </c>
      <c r="E65" s="78">
        <f>D65/C65-1</f>
        <v>0.18639093894778913</v>
      </c>
      <c r="F65" s="100">
        <f>D65-C65</f>
        <v>14926</v>
      </c>
      <c r="G65" s="22">
        <f>SUM(G61:G64)</f>
        <v>62556</v>
      </c>
      <c r="H65" s="22">
        <f>SUM(H61:H64)</f>
        <v>105313</v>
      </c>
      <c r="I65" s="78">
        <v>-0.37571354436948623</v>
      </c>
      <c r="J65" s="100">
        <v>-37648</v>
      </c>
      <c r="K65" s="22">
        <v>80827</v>
      </c>
      <c r="L65" s="22">
        <v>80827</v>
      </c>
      <c r="M65" s="78">
        <f>L65/K65-1</f>
        <v>0</v>
      </c>
      <c r="N65" s="100">
        <f>L65-K65</f>
        <v>0</v>
      </c>
      <c r="O65" s="22">
        <v>98325</v>
      </c>
      <c r="P65" s="22">
        <f>SUM(P61:P64)</f>
        <v>62556</v>
      </c>
      <c r="Q65" s="78">
        <f>P65/O65-1</f>
        <v>-0.36378337147215867</v>
      </c>
      <c r="R65" s="100">
        <f>P65-O65</f>
        <v>-35769</v>
      </c>
      <c r="S65" s="22">
        <f>SUM(S61:S64)</f>
        <v>62556</v>
      </c>
      <c r="T65" s="22">
        <f>SUM(T61:T64)</f>
        <v>105313</v>
      </c>
      <c r="U65" s="78">
        <f>IFERROR(T65/S65-1,"-")</f>
        <v>0.68349958437240232</v>
      </c>
      <c r="V65" s="100">
        <f>T65-S65</f>
        <v>42757</v>
      </c>
      <c r="X65" s="347"/>
    </row>
    <row r="66" spans="1:24" ht="15.75" customHeight="1">
      <c r="C66" s="91"/>
      <c r="D66" s="91"/>
      <c r="S66" s="40"/>
    </row>
    <row r="67" spans="1:24" ht="15.75" hidden="1" customHeight="1"/>
    <row r="68" spans="1:24" ht="12" hidden="1">
      <c r="A68" s="38" t="s">
        <v>55</v>
      </c>
      <c r="B68" s="38"/>
      <c r="C68" s="38"/>
      <c r="D68" s="38"/>
      <c r="E68" s="103"/>
      <c r="F68" s="103"/>
      <c r="G68" s="38"/>
      <c r="H68" s="38"/>
      <c r="I68" s="280" t="str">
        <f>G2</f>
        <v>2T22</v>
      </c>
      <c r="J68" s="281" t="str">
        <f>H2</f>
        <v>2T23</v>
      </c>
      <c r="K68" s="38"/>
      <c r="L68" s="38"/>
      <c r="M68" s="280"/>
      <c r="N68" s="281"/>
      <c r="O68" s="38"/>
      <c r="P68" s="38"/>
      <c r="Q68" s="280"/>
      <c r="R68" s="281"/>
      <c r="S68" s="38"/>
      <c r="T68" s="38"/>
      <c r="U68" s="280">
        <f>S2</f>
        <v>2022</v>
      </c>
      <c r="V68" s="281">
        <f>T2</f>
        <v>2023</v>
      </c>
    </row>
    <row r="69" spans="1:24" ht="12" hidden="1">
      <c r="A69" s="38" t="s">
        <v>56</v>
      </c>
      <c r="B69" s="38"/>
      <c r="C69" s="39">
        <v>-5697</v>
      </c>
      <c r="D69" s="39">
        <v>5777</v>
      </c>
      <c r="E69" s="273">
        <f>C69/1000</f>
        <v>-5.6970000000000001</v>
      </c>
      <c r="F69" s="273">
        <f>D69/1000</f>
        <v>5.7770000000000001</v>
      </c>
      <c r="G69" s="39"/>
      <c r="H69" s="39"/>
      <c r="I69" s="276">
        <f>G69/10^3</f>
        <v>0</v>
      </c>
      <c r="J69" s="277">
        <f>H69/10^3</f>
        <v>0</v>
      </c>
      <c r="K69" s="39"/>
      <c r="L69" s="39"/>
      <c r="M69" s="276"/>
      <c r="N69" s="277"/>
      <c r="O69" s="39"/>
      <c r="P69" s="39"/>
      <c r="Q69" s="276"/>
      <c r="R69" s="277"/>
      <c r="S69" s="39">
        <v>-5697</v>
      </c>
      <c r="T69" s="39">
        <f>T4</f>
        <v>20610</v>
      </c>
      <c r="U69" s="276">
        <f>S69/10^3</f>
        <v>-5.6970000000000001</v>
      </c>
      <c r="V69" s="277">
        <f>T69/10^3</f>
        <v>20.61</v>
      </c>
    </row>
    <row r="70" spans="1:24" ht="12" hidden="1">
      <c r="A70" s="38" t="s">
        <v>57</v>
      </c>
      <c r="B70" s="38"/>
      <c r="C70" s="39">
        <v>20270</v>
      </c>
      <c r="D70" s="39">
        <v>9491</v>
      </c>
      <c r="E70" s="273">
        <f t="shared" ref="E70:E76" si="38">C70/1000</f>
        <v>20.27</v>
      </c>
      <c r="F70" s="273">
        <f t="shared" ref="F70:F76" si="39">D70/1000</f>
        <v>9.4909999999999997</v>
      </c>
      <c r="G70" s="39"/>
      <c r="H70" s="39"/>
      <c r="I70" s="276">
        <f t="shared" ref="I70:I76" si="40">G70/10^3</f>
        <v>0</v>
      </c>
      <c r="J70" s="277">
        <f t="shared" ref="J70:J76" si="41">H70/10^3</f>
        <v>0</v>
      </c>
      <c r="K70" s="39"/>
      <c r="L70" s="39"/>
      <c r="M70" s="276"/>
      <c r="N70" s="277"/>
      <c r="O70" s="39"/>
      <c r="P70" s="39"/>
      <c r="Q70" s="276"/>
      <c r="R70" s="277"/>
      <c r="S70" s="39">
        <v>20270</v>
      </c>
      <c r="T70" s="39">
        <f>SUM(T6:T22)</f>
        <v>17556</v>
      </c>
      <c r="U70" s="276">
        <f t="shared" ref="U70:U76" si="42">S70/10^3</f>
        <v>20.27</v>
      </c>
      <c r="V70" s="277">
        <f t="shared" ref="V70:V76" si="43">T70/10^3</f>
        <v>17.556000000000001</v>
      </c>
    </row>
    <row r="71" spans="1:24" ht="12" hidden="1">
      <c r="A71" s="38" t="s">
        <v>58</v>
      </c>
      <c r="B71" s="38"/>
      <c r="C71" s="39">
        <v>-12276</v>
      </c>
      <c r="D71" s="39">
        <v>6215</v>
      </c>
      <c r="E71" s="273">
        <f t="shared" si="38"/>
        <v>-12.276</v>
      </c>
      <c r="F71" s="273">
        <f t="shared" si="39"/>
        <v>6.2149999999999999</v>
      </c>
      <c r="G71" s="39"/>
      <c r="H71" s="39"/>
      <c r="I71" s="276">
        <f t="shared" si="40"/>
        <v>0</v>
      </c>
      <c r="J71" s="277">
        <f t="shared" si="41"/>
        <v>0</v>
      </c>
      <c r="K71" s="39"/>
      <c r="L71" s="39"/>
      <c r="M71" s="276"/>
      <c r="N71" s="277"/>
      <c r="O71" s="39"/>
      <c r="P71" s="39"/>
      <c r="Q71" s="276"/>
      <c r="R71" s="277"/>
      <c r="S71" s="39">
        <v>-12276</v>
      </c>
      <c r="T71" s="39">
        <f>SUM(T25:T35)</f>
        <v>2980</v>
      </c>
      <c r="U71" s="276">
        <f t="shared" si="42"/>
        <v>-12.276</v>
      </c>
      <c r="V71" s="277">
        <f t="shared" si="43"/>
        <v>2.98</v>
      </c>
    </row>
    <row r="72" spans="1:24" ht="12" hidden="1">
      <c r="A72" s="38" t="s">
        <v>59</v>
      </c>
      <c r="B72" s="38"/>
      <c r="C72" s="39">
        <v>-976</v>
      </c>
      <c r="D72" s="39">
        <v>-2714</v>
      </c>
      <c r="E72" s="273">
        <f t="shared" si="38"/>
        <v>-0.97599999999999998</v>
      </c>
      <c r="F72" s="273">
        <f t="shared" si="39"/>
        <v>-2.714</v>
      </c>
      <c r="G72" s="39"/>
      <c r="H72" s="39"/>
      <c r="I72" s="276">
        <f t="shared" si="40"/>
        <v>0</v>
      </c>
      <c r="J72" s="277">
        <f t="shared" si="41"/>
        <v>0</v>
      </c>
      <c r="K72" s="39"/>
      <c r="L72" s="39"/>
      <c r="M72" s="276"/>
      <c r="N72" s="277"/>
      <c r="O72" s="39"/>
      <c r="P72" s="39"/>
      <c r="Q72" s="276"/>
      <c r="R72" s="277"/>
      <c r="S72" s="39">
        <v>-976</v>
      </c>
      <c r="T72" s="39">
        <f>T47</f>
        <v>-4958</v>
      </c>
      <c r="U72" s="276">
        <f t="shared" si="42"/>
        <v>-0.97599999999999998</v>
      </c>
      <c r="V72" s="277">
        <f t="shared" si="43"/>
        <v>-4.9580000000000002</v>
      </c>
    </row>
    <row r="73" spans="1:24" ht="12" hidden="1">
      <c r="A73" s="38" t="s">
        <v>60</v>
      </c>
      <c r="B73" s="38"/>
      <c r="C73" s="39">
        <v>-10875</v>
      </c>
      <c r="D73" s="39">
        <v>-22089</v>
      </c>
      <c r="E73" s="273">
        <f t="shared" si="38"/>
        <v>-10.875</v>
      </c>
      <c r="F73" s="273">
        <f t="shared" si="39"/>
        <v>-22.088999999999999</v>
      </c>
      <c r="G73" s="39"/>
      <c r="H73" s="39"/>
      <c r="I73" s="276">
        <f t="shared" si="40"/>
        <v>0</v>
      </c>
      <c r="J73" s="277">
        <f t="shared" si="41"/>
        <v>0</v>
      </c>
      <c r="K73" s="39"/>
      <c r="L73" s="39"/>
      <c r="M73" s="276"/>
      <c r="N73" s="277"/>
      <c r="O73" s="39"/>
      <c r="P73" s="39"/>
      <c r="Q73" s="276"/>
      <c r="R73" s="277"/>
      <c r="S73" s="39">
        <v>-10875</v>
      </c>
      <c r="T73" s="39">
        <f>SUM(T48:T58)</f>
        <v>-32401</v>
      </c>
      <c r="U73" s="276">
        <f t="shared" si="42"/>
        <v>-10.875</v>
      </c>
      <c r="V73" s="277">
        <f t="shared" si="43"/>
        <v>-32.401000000000003</v>
      </c>
    </row>
    <row r="74" spans="1:24" ht="12" hidden="1">
      <c r="A74" s="38" t="s">
        <v>61</v>
      </c>
      <c r="B74" s="38"/>
      <c r="C74" s="39">
        <v>-9554</v>
      </c>
      <c r="D74" s="39">
        <v>-3320</v>
      </c>
      <c r="E74" s="273">
        <f t="shared" si="38"/>
        <v>-9.5540000000000003</v>
      </c>
      <c r="F74" s="273">
        <f t="shared" si="39"/>
        <v>-3.32</v>
      </c>
      <c r="G74" s="39"/>
      <c r="H74" s="39"/>
      <c r="I74" s="276">
        <f t="shared" si="40"/>
        <v>0</v>
      </c>
      <c r="J74" s="277">
        <f t="shared" si="41"/>
        <v>0</v>
      </c>
      <c r="K74" s="39"/>
      <c r="L74" s="39"/>
      <c r="M74" s="276"/>
      <c r="N74" s="277"/>
      <c r="O74" s="39"/>
      <c r="P74" s="39"/>
      <c r="Q74" s="276"/>
      <c r="R74" s="277"/>
      <c r="S74" s="39">
        <v>-9554</v>
      </c>
      <c r="T74" s="39">
        <f>SUM(T69:T73)</f>
        <v>3787</v>
      </c>
      <c r="U74" s="276">
        <f t="shared" si="42"/>
        <v>-9.5540000000000003</v>
      </c>
      <c r="V74" s="277">
        <f t="shared" si="43"/>
        <v>3.7869999999999999</v>
      </c>
    </row>
    <row r="75" spans="1:24" ht="12" hidden="1">
      <c r="A75" s="38" t="s">
        <v>62</v>
      </c>
      <c r="B75" s="38"/>
      <c r="C75" s="39">
        <v>89633</v>
      </c>
      <c r="D75" s="39">
        <v>98325</v>
      </c>
      <c r="E75" s="273">
        <f t="shared" si="38"/>
        <v>89.632999999999996</v>
      </c>
      <c r="F75" s="273">
        <f t="shared" si="39"/>
        <v>98.325000000000003</v>
      </c>
      <c r="G75" s="39"/>
      <c r="H75" s="39"/>
      <c r="I75" s="276">
        <f t="shared" si="40"/>
        <v>0</v>
      </c>
      <c r="J75" s="277">
        <f t="shared" si="41"/>
        <v>0</v>
      </c>
      <c r="K75" s="39"/>
      <c r="L75" s="39"/>
      <c r="M75" s="276"/>
      <c r="N75" s="277"/>
      <c r="O75" s="39"/>
      <c r="P75" s="39"/>
      <c r="Q75" s="276"/>
      <c r="R75" s="277"/>
      <c r="S75" s="39">
        <v>89633</v>
      </c>
      <c r="T75" s="39">
        <f>T63</f>
        <v>98325</v>
      </c>
      <c r="U75" s="276">
        <f t="shared" si="42"/>
        <v>89.632999999999996</v>
      </c>
      <c r="V75" s="277">
        <f t="shared" si="43"/>
        <v>98.325000000000003</v>
      </c>
    </row>
    <row r="76" spans="1:24" ht="12" hidden="1">
      <c r="A76" s="38" t="s">
        <v>63</v>
      </c>
      <c r="B76" s="38"/>
      <c r="C76" s="39">
        <v>80079</v>
      </c>
      <c r="D76" s="39">
        <v>95005</v>
      </c>
      <c r="E76" s="273">
        <f t="shared" si="38"/>
        <v>80.078999999999994</v>
      </c>
      <c r="F76" s="273">
        <f t="shared" si="39"/>
        <v>95.004999999999995</v>
      </c>
      <c r="G76" s="39"/>
      <c r="H76" s="39"/>
      <c r="I76" s="278">
        <f t="shared" si="40"/>
        <v>0</v>
      </c>
      <c r="J76" s="279">
        <f t="shared" si="41"/>
        <v>0</v>
      </c>
      <c r="K76" s="39"/>
      <c r="L76" s="39"/>
      <c r="M76" s="278"/>
      <c r="N76" s="279"/>
      <c r="O76" s="39"/>
      <c r="P76" s="39"/>
      <c r="Q76" s="278"/>
      <c r="R76" s="279"/>
      <c r="S76" s="39">
        <v>80079</v>
      </c>
      <c r="T76" s="39">
        <f>T74+T75</f>
        <v>102112</v>
      </c>
      <c r="U76" s="278">
        <f t="shared" si="42"/>
        <v>80.078999999999994</v>
      </c>
      <c r="V76" s="279">
        <f t="shared" si="43"/>
        <v>102.11199999999999</v>
      </c>
    </row>
    <row r="77" spans="1:24" ht="12" hidden="1">
      <c r="A77" s="12"/>
      <c r="B77" s="12"/>
      <c r="C77" s="90"/>
      <c r="D77" s="12"/>
      <c r="E77" s="12"/>
      <c r="F77" s="12"/>
      <c r="H77" s="12"/>
      <c r="I77" s="12"/>
      <c r="J77" s="12"/>
      <c r="L77" s="12"/>
      <c r="M77" s="12"/>
      <c r="N77" s="12"/>
      <c r="P77" s="12"/>
      <c r="Q77" s="12"/>
      <c r="R77" s="12"/>
      <c r="S77" s="90"/>
      <c r="T77" s="12"/>
      <c r="U77" s="80"/>
      <c r="V77" s="80"/>
    </row>
    <row r="78" spans="1:24" ht="12" hidden="1">
      <c r="A78" s="12"/>
      <c r="B78" s="12"/>
      <c r="C78" s="12"/>
      <c r="D78" s="12"/>
      <c r="E78" s="12"/>
      <c r="F78" s="12"/>
      <c r="H78" s="12"/>
      <c r="I78" s="12"/>
      <c r="J78" s="12"/>
      <c r="L78" s="12"/>
      <c r="M78" s="12"/>
      <c r="N78" s="12"/>
      <c r="P78" s="12"/>
      <c r="Q78" s="12"/>
      <c r="R78" s="12"/>
      <c r="T78" s="12"/>
      <c r="U78" s="80"/>
      <c r="V78" s="80"/>
    </row>
    <row r="79" spans="1:24" ht="12" hidden="1">
      <c r="A79" s="12" t="s">
        <v>64</v>
      </c>
      <c r="B79" s="12"/>
      <c r="C79" s="12"/>
      <c r="D79" s="12"/>
      <c r="E79" s="12"/>
      <c r="F79" s="12"/>
      <c r="H79" s="12"/>
      <c r="I79" s="12"/>
      <c r="J79" s="12"/>
      <c r="L79" s="12"/>
      <c r="M79" s="12"/>
      <c r="N79" s="12"/>
      <c r="P79" s="12"/>
      <c r="Q79" s="12"/>
      <c r="R79" s="12"/>
      <c r="S79" s="90"/>
      <c r="T79" s="12"/>
      <c r="U79" s="80"/>
      <c r="V79" s="80"/>
    </row>
    <row r="80" spans="1:24" ht="12" hidden="1">
      <c r="A80" s="12"/>
      <c r="B80" s="12"/>
      <c r="C80" s="12"/>
      <c r="D80" s="12"/>
      <c r="E80" s="12"/>
      <c r="F80" s="12"/>
      <c r="H80" s="12"/>
      <c r="I80" s="12"/>
      <c r="J80" s="12"/>
      <c r="L80" s="12"/>
      <c r="M80" s="12"/>
      <c r="N80" s="12"/>
      <c r="P80" s="12"/>
      <c r="Q80" s="12"/>
      <c r="R80" s="12"/>
      <c r="T80" s="12"/>
      <c r="U80" s="80"/>
      <c r="V80" s="80"/>
    </row>
    <row r="81" spans="1:22" ht="12" hidden="1">
      <c r="A81" s="6" t="s">
        <v>65</v>
      </c>
      <c r="B81" s="12"/>
      <c r="C81" s="12"/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T81" s="12"/>
      <c r="U81" s="80"/>
      <c r="V81" s="80"/>
    </row>
    <row r="82" spans="1:22" ht="12" hidden="1">
      <c r="A82" s="6" t="s">
        <v>66</v>
      </c>
      <c r="B82" s="12"/>
      <c r="C82" s="12"/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40"/>
      <c r="T82" s="12"/>
      <c r="U82" s="80"/>
      <c r="V82" s="80"/>
    </row>
    <row r="83" spans="1:22" ht="12" hidden="1">
      <c r="A83" s="12"/>
      <c r="B83" s="12"/>
      <c r="C83" s="12"/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T83" s="12"/>
      <c r="U83" s="80"/>
      <c r="V83" s="80"/>
    </row>
    <row r="84" spans="1:22" ht="12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T84" s="12"/>
      <c r="U84" s="80"/>
      <c r="V84" s="80"/>
    </row>
    <row r="85" spans="1:22" ht="12" hidden="1">
      <c r="A85" s="12" t="s">
        <v>68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T85" s="12"/>
      <c r="U85" s="80"/>
      <c r="V85" s="80"/>
    </row>
    <row r="86" spans="1:22" ht="15.75" hidden="1" customHeight="1">
      <c r="G86" s="12"/>
      <c r="K86" s="12"/>
      <c r="O86" s="12"/>
    </row>
    <row r="87" spans="1:22" ht="15.75" hidden="1" customHeight="1">
      <c r="G87" s="12"/>
      <c r="K87" s="12"/>
      <c r="O87" s="12"/>
    </row>
    <row r="88" spans="1:22" ht="15.75" hidden="1" customHeight="1">
      <c r="B88" s="12" t="s">
        <v>67</v>
      </c>
      <c r="C88" s="40">
        <v>-1645</v>
      </c>
      <c r="D88" s="40"/>
      <c r="E88" s="41">
        <f>D88/C88-1</f>
        <v>-1</v>
      </c>
      <c r="F88" s="12"/>
      <c r="G88" s="12"/>
      <c r="H88" s="40"/>
      <c r="I88" s="41" t="e">
        <f>H88/G88-1</f>
        <v>#DIV/0!</v>
      </c>
      <c r="J88" s="12"/>
      <c r="K88" s="12"/>
      <c r="L88" s="40"/>
      <c r="M88" s="41"/>
      <c r="N88" s="12"/>
      <c r="O88" s="12"/>
      <c r="P88" s="40"/>
      <c r="Q88" s="41"/>
      <c r="R88" s="12"/>
      <c r="S88" s="12">
        <v>-1645</v>
      </c>
      <c r="T88" s="40"/>
      <c r="U88" s="81"/>
      <c r="V88" s="80"/>
    </row>
    <row r="89" spans="1:22" ht="15.75" hidden="1" customHeight="1">
      <c r="G89" s="12"/>
      <c r="K89" s="12"/>
      <c r="O89" s="12"/>
    </row>
    <row r="90" spans="1:22" ht="15.75" hidden="1" customHeight="1">
      <c r="G90" s="12"/>
      <c r="K90" s="12"/>
      <c r="O90" s="12"/>
    </row>
    <row r="91" spans="1:22" ht="15.75" hidden="1" customHeight="1">
      <c r="G91" s="12"/>
      <c r="K91" s="12"/>
      <c r="O91" s="12"/>
    </row>
    <row r="92" spans="1:22" ht="15.75" hidden="1" customHeight="1">
      <c r="G92" s="12"/>
      <c r="K92" s="12"/>
      <c r="O92" s="12"/>
    </row>
    <row r="93" spans="1:22" ht="15.75" hidden="1" customHeight="1">
      <c r="G93" s="12"/>
      <c r="K93" s="12"/>
      <c r="O93" s="12"/>
    </row>
    <row r="94" spans="1:22" ht="15.75" hidden="1" customHeight="1">
      <c r="G94" s="12"/>
      <c r="K94" s="12"/>
      <c r="O94" s="12"/>
    </row>
    <row r="95" spans="1:22" ht="15.75" customHeight="1">
      <c r="G95" s="12"/>
      <c r="K95" s="12"/>
      <c r="O95" s="12"/>
    </row>
    <row r="96" spans="1:22" ht="15.75" customHeight="1">
      <c r="C96" s="309"/>
      <c r="D96" s="310"/>
      <c r="E96" s="311"/>
      <c r="F96" s="311"/>
      <c r="G96" s="310"/>
      <c r="H96" s="310"/>
      <c r="I96" s="311"/>
      <c r="J96" s="311"/>
      <c r="K96" s="310"/>
      <c r="L96" s="310"/>
      <c r="M96" s="311"/>
      <c r="N96" s="311"/>
      <c r="O96" s="310"/>
      <c r="P96" s="310"/>
      <c r="Q96" s="311"/>
      <c r="R96" s="311"/>
      <c r="S96" s="50"/>
      <c r="T96" s="50"/>
    </row>
    <row r="97" spans="7:15" ht="15.75" customHeight="1">
      <c r="G97" s="12"/>
      <c r="K97" s="12"/>
      <c r="O97" s="12"/>
    </row>
    <row r="98" spans="7:15" ht="15.75" customHeight="1">
      <c r="G98" s="12"/>
      <c r="K98" s="12"/>
      <c r="O98" s="12"/>
    </row>
    <row r="99" spans="7:15" ht="15.75" customHeight="1">
      <c r="G99" s="12"/>
      <c r="K99" s="12"/>
      <c r="O99" s="12"/>
    </row>
    <row r="100" spans="7:15" ht="15.75" customHeight="1">
      <c r="G100" s="12"/>
      <c r="K100" s="12"/>
      <c r="O100" s="12"/>
    </row>
    <row r="101" spans="7:15" ht="15.75" customHeight="1">
      <c r="G101" s="12"/>
      <c r="K101" s="12"/>
      <c r="O101" s="12"/>
    </row>
    <row r="102" spans="7:15" ht="15.75" customHeight="1">
      <c r="G102" s="12"/>
      <c r="K102" s="12"/>
      <c r="O102" s="12"/>
    </row>
    <row r="103" spans="7:15" ht="15.75" customHeight="1">
      <c r="G103" s="12"/>
      <c r="K103" s="12"/>
      <c r="O103" s="12"/>
    </row>
    <row r="104" spans="7:15" ht="15.75" customHeight="1">
      <c r="G104" s="12"/>
      <c r="K104" s="12"/>
      <c r="O104" s="12"/>
    </row>
    <row r="105" spans="7:15" ht="15.75" customHeight="1">
      <c r="G105" s="12"/>
      <c r="K105" s="12"/>
      <c r="O105" s="12"/>
    </row>
    <row r="106" spans="7:15" ht="15.75" customHeight="1">
      <c r="G106" s="12"/>
      <c r="K106" s="12"/>
      <c r="O106" s="12"/>
    </row>
    <row r="107" spans="7:15" ht="15.75" customHeight="1">
      <c r="G107" s="12"/>
      <c r="K107" s="12"/>
      <c r="O107" s="12"/>
    </row>
    <row r="108" spans="7:15" ht="15.75" customHeight="1">
      <c r="G108" s="12"/>
      <c r="K108" s="12"/>
      <c r="O108" s="12"/>
    </row>
    <row r="109" spans="7:15" ht="15.75" customHeight="1">
      <c r="G109" s="12"/>
      <c r="K109" s="12"/>
      <c r="O109" s="12"/>
    </row>
    <row r="110" spans="7:15" ht="15.75" customHeight="1">
      <c r="G110" s="12"/>
      <c r="K110" s="12"/>
      <c r="O110" s="12"/>
    </row>
    <row r="111" spans="7:15" ht="15.75" customHeight="1">
      <c r="G111" s="12"/>
      <c r="K111" s="12"/>
      <c r="O111" s="12"/>
    </row>
    <row r="112" spans="7:15" ht="15.75" customHeight="1">
      <c r="G112" s="12"/>
      <c r="K112" s="12"/>
      <c r="O112" s="12"/>
    </row>
    <row r="113" spans="7:15" ht="15.75" customHeight="1">
      <c r="G113" s="12"/>
      <c r="K113" s="12"/>
      <c r="O113" s="12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H24" sqref="H24"/>
    </sheetView>
  </sheetViews>
  <sheetFormatPr defaultColWidth="9.140625" defaultRowHeight="15"/>
  <cols>
    <col min="1" max="1" width="4.28515625" style="4" customWidth="1"/>
    <col min="2" max="2" width="36.140625" style="4" customWidth="1"/>
    <col min="3" max="3" width="11.42578125" style="4" customWidth="1"/>
    <col min="4" max="4" width="10.85546875" style="4" customWidth="1"/>
    <col min="5" max="5" width="11.85546875" style="4" customWidth="1"/>
    <col min="6" max="6" width="11" style="4" customWidth="1"/>
    <col min="7" max="7" width="11.140625" style="4" customWidth="1"/>
    <col min="8" max="8" width="11.42578125" style="4" customWidth="1"/>
    <col min="9" max="10" width="11.140625" style="4" customWidth="1"/>
    <col min="11" max="11" width="11.5703125" style="4" customWidth="1"/>
    <col min="12" max="13" width="11.140625" style="4" customWidth="1"/>
    <col min="17" max="17" width="11.42578125" bestFit="1" customWidth="1"/>
  </cols>
  <sheetData>
    <row r="1" spans="1:17" ht="119.45" customHeight="1" thickBot="1"/>
    <row r="2" spans="1:17" ht="15.75" customHeight="1" thickBot="1">
      <c r="A2" s="329" t="s">
        <v>417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</row>
    <row r="3" spans="1:17" ht="15.75" customHeight="1">
      <c r="A3" s="331" t="s">
        <v>418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</row>
    <row r="4" spans="1:17" ht="15.75" customHeight="1">
      <c r="A4" s="333"/>
      <c r="B4" s="333" t="s">
        <v>419</v>
      </c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</row>
    <row r="5" spans="1:17" ht="15.75" customHeight="1">
      <c r="A5" s="332" t="s">
        <v>420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</row>
    <row r="6" spans="1:17" ht="15.75" customHeight="1">
      <c r="A6" s="333"/>
      <c r="B6" s="333" t="s">
        <v>421</v>
      </c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</row>
    <row r="7" spans="1:17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</row>
    <row r="8" spans="1:17" ht="15.75" customHeight="1">
      <c r="A8" s="316" t="s">
        <v>422</v>
      </c>
      <c r="B8" s="317"/>
      <c r="C8" s="374">
        <f>SUM(C3:C6)</f>
        <v>262030</v>
      </c>
      <c r="D8" s="374">
        <f t="shared" ref="D8:L8" si="0">SUM(D3:D6)</f>
        <v>312715.13757291244</v>
      </c>
      <c r="E8" s="374">
        <f t="shared" si="0"/>
        <v>433695.82074142544</v>
      </c>
      <c r="F8" s="374">
        <f t="shared" si="0"/>
        <v>413433</v>
      </c>
      <c r="G8" s="374">
        <f t="shared" si="0"/>
        <v>397293</v>
      </c>
      <c r="H8" s="374">
        <f t="shared" si="0"/>
        <v>360872.97414030397</v>
      </c>
      <c r="I8" s="374">
        <f t="shared" si="0"/>
        <v>340076</v>
      </c>
      <c r="J8" s="374">
        <f t="shared" si="0"/>
        <v>305696.17570524517</v>
      </c>
      <c r="K8" s="374">
        <f t="shared" si="0"/>
        <v>316226.27587170707</v>
      </c>
      <c r="L8" s="374">
        <f t="shared" si="0"/>
        <v>244607.38250886771</v>
      </c>
      <c r="M8" s="374">
        <v>314401.67791416938</v>
      </c>
    </row>
    <row r="9" spans="1:17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</row>
    <row r="10" spans="1:17" ht="15.75" customHeight="1">
      <c r="A10" s="316" t="s">
        <v>423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</row>
    <row r="11" spans="1:17" ht="15.75" customHeight="1">
      <c r="A11" s="318"/>
      <c r="B11" s="318" t="s">
        <v>424</v>
      </c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</row>
    <row r="12" spans="1:17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</row>
    <row r="13" spans="1:17" ht="15.75" customHeight="1">
      <c r="A13" s="316" t="s">
        <v>425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299"/>
      <c r="O13" s="299"/>
      <c r="P13" s="392"/>
      <c r="Q13" s="391"/>
    </row>
    <row r="14" spans="1:17" ht="15.75" customHeight="1">
      <c r="A14" s="316" t="s">
        <v>426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Q14" s="364"/>
    </row>
    <row r="15" spans="1:17" ht="179.45" hidden="1" customHeight="1">
      <c r="A15" s="316" t="s">
        <v>427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Q15" s="364"/>
    </row>
    <row r="16" spans="1:17">
      <c r="A16" s="319"/>
      <c r="B16" s="319" t="s">
        <v>428</v>
      </c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Q16" s="364"/>
    </row>
    <row r="17" spans="1:17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Q17" s="364"/>
    </row>
    <row r="18" spans="1:17">
      <c r="A18" s="316" t="s">
        <v>429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299"/>
      <c r="O18" s="299"/>
      <c r="P18" s="299"/>
      <c r="Q18" s="104"/>
    </row>
    <row r="19" spans="1:17">
      <c r="A19" s="319"/>
      <c r="B19" s="319" t="s">
        <v>428</v>
      </c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</row>
    <row r="20" spans="1:17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299"/>
      <c r="O20" s="299"/>
      <c r="P20" s="299"/>
      <c r="Q20" s="104"/>
    </row>
    <row r="21" spans="1:17">
      <c r="A21" s="316" t="s">
        <v>430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</row>
    <row r="22" spans="1:17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</row>
    <row r="23" spans="1:17">
      <c r="A23" s="332" t="s">
        <v>431</v>
      </c>
      <c r="B23" s="333"/>
      <c r="C23" s="379">
        <f>C10+C13+C18+C21+C14+C15</f>
        <v>98500</v>
      </c>
      <c r="D23" s="379">
        <f t="shared" ref="D23:L23" si="2">D10+D13+D18+D21+D14+D15</f>
        <v>64759</v>
      </c>
      <c r="E23" s="379">
        <f t="shared" si="2"/>
        <v>48490</v>
      </c>
      <c r="F23" s="379">
        <f t="shared" si="2"/>
        <v>65180</v>
      </c>
      <c r="G23" s="379">
        <f t="shared" si="2"/>
        <v>31655</v>
      </c>
      <c r="H23" s="379">
        <f t="shared" si="2"/>
        <v>8544.9741403039661</v>
      </c>
      <c r="I23" s="379">
        <f t="shared" si="2"/>
        <v>-12773.390136322469</v>
      </c>
      <c r="J23" s="379">
        <f t="shared" si="2"/>
        <v>-2901.8242947548279</v>
      </c>
      <c r="K23" s="379">
        <f t="shared" si="2"/>
        <v>-126645</v>
      </c>
      <c r="L23" s="379">
        <f t="shared" si="2"/>
        <v>-9616</v>
      </c>
      <c r="M23" s="379">
        <v>50648.677914169384</v>
      </c>
    </row>
    <row r="24" spans="1:17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</row>
    <row r="25" spans="1:17">
      <c r="A25" s="317"/>
      <c r="B25" s="317" t="s">
        <v>432</v>
      </c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</row>
    <row r="26" spans="1:17">
      <c r="A26" s="317"/>
      <c r="B26" s="317" t="s">
        <v>433</v>
      </c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</row>
    <row r="27" spans="1:17">
      <c r="A27" s="316" t="s">
        <v>434</v>
      </c>
      <c r="B27" s="317"/>
      <c r="C27" s="375">
        <f>SUM(C25:C26)</f>
        <v>7304</v>
      </c>
      <c r="D27" s="375">
        <f t="shared" ref="D27:L27" si="3">SUM(D25:D26)</f>
        <v>16660</v>
      </c>
      <c r="E27" s="375">
        <f t="shared" si="3"/>
        <v>-5546</v>
      </c>
      <c r="F27" s="375">
        <f t="shared" si="3"/>
        <v>-9899</v>
      </c>
      <c r="G27" s="375">
        <f t="shared" si="3"/>
        <v>-599</v>
      </c>
      <c r="H27" s="375">
        <f t="shared" si="3"/>
        <v>-6690</v>
      </c>
      <c r="I27" s="375">
        <f t="shared" si="3"/>
        <v>-2499</v>
      </c>
      <c r="J27" s="375">
        <f t="shared" si="3"/>
        <v>4249</v>
      </c>
      <c r="K27" s="375">
        <f t="shared" si="3"/>
        <v>-5183</v>
      </c>
      <c r="L27" s="375">
        <f t="shared" si="3"/>
        <v>-24308</v>
      </c>
      <c r="M27" s="375">
        <v>-15031</v>
      </c>
    </row>
    <row r="28" spans="1:17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</row>
    <row r="29" spans="1:17">
      <c r="A29" s="332" t="s">
        <v>435</v>
      </c>
      <c r="B29" s="333"/>
      <c r="C29" s="371">
        <f>C23+C27</f>
        <v>105804</v>
      </c>
      <c r="D29" s="371">
        <f t="shared" ref="D29:L29" si="4">D23+D27</f>
        <v>81419</v>
      </c>
      <c r="E29" s="371">
        <f t="shared" si="4"/>
        <v>42944</v>
      </c>
      <c r="F29" s="371">
        <f t="shared" si="4"/>
        <v>55281</v>
      </c>
      <c r="G29" s="371">
        <f t="shared" si="4"/>
        <v>31056</v>
      </c>
      <c r="H29" s="371">
        <f t="shared" si="4"/>
        <v>1854.9741403039661</v>
      </c>
      <c r="I29" s="371">
        <f t="shared" si="4"/>
        <v>-15272.390136322469</v>
      </c>
      <c r="J29" s="371">
        <f t="shared" si="4"/>
        <v>1347.1757052451721</v>
      </c>
      <c r="K29" s="371">
        <f t="shared" si="4"/>
        <v>-131828</v>
      </c>
      <c r="L29" s="371">
        <f t="shared" si="4"/>
        <v>-33924</v>
      </c>
      <c r="M29" s="371">
        <v>35617.677914169384</v>
      </c>
    </row>
    <row r="30" spans="1:17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</row>
    <row r="31" spans="1:17">
      <c r="A31" s="333"/>
      <c r="B31" s="333" t="s">
        <v>436</v>
      </c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</row>
    <row r="32" spans="1:17">
      <c r="A32" s="333"/>
      <c r="B32" s="333" t="s">
        <v>437</v>
      </c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</row>
    <row r="33" spans="1:13">
      <c r="A33" s="316" t="s">
        <v>438</v>
      </c>
      <c r="B33" s="317"/>
      <c r="C33" s="375">
        <f>SUM(C31:C32)</f>
        <v>-16847</v>
      </c>
      <c r="D33" s="375">
        <f t="shared" ref="D33:L33" si="5">SUM(D31:D32)</f>
        <v>-17655</v>
      </c>
      <c r="E33" s="375">
        <f t="shared" si="5"/>
        <v>-11422</v>
      </c>
      <c r="F33" s="375">
        <f t="shared" si="5"/>
        <v>-9053</v>
      </c>
      <c r="G33" s="375">
        <f t="shared" si="5"/>
        <v>-9041</v>
      </c>
      <c r="H33" s="375">
        <f t="shared" si="5"/>
        <v>-3791</v>
      </c>
      <c r="I33" s="375">
        <f t="shared" si="5"/>
        <v>3188</v>
      </c>
      <c r="J33" s="375">
        <f t="shared" si="5"/>
        <v>13022</v>
      </c>
      <c r="K33" s="375">
        <f t="shared" si="5"/>
        <v>9174</v>
      </c>
      <c r="L33" s="375">
        <f t="shared" si="5"/>
        <v>5761</v>
      </c>
      <c r="M33" s="375">
        <v>-7537</v>
      </c>
    </row>
    <row r="34" spans="1:13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</row>
    <row r="35" spans="1:13">
      <c r="A35" s="316" t="s">
        <v>439</v>
      </c>
      <c r="B35" s="317"/>
      <c r="C35" s="375">
        <f>C29+C33</f>
        <v>88957</v>
      </c>
      <c r="D35" s="375">
        <f t="shared" ref="D35:L35" si="6">D29+D33</f>
        <v>63764</v>
      </c>
      <c r="E35" s="375">
        <f t="shared" si="6"/>
        <v>31522</v>
      </c>
      <c r="F35" s="375">
        <f t="shared" si="6"/>
        <v>46228</v>
      </c>
      <c r="G35" s="375">
        <f t="shared" si="6"/>
        <v>22015</v>
      </c>
      <c r="H35" s="375">
        <f t="shared" si="6"/>
        <v>-1936.0258596960339</v>
      </c>
      <c r="I35" s="375">
        <f t="shared" si="6"/>
        <v>-12084.390136322469</v>
      </c>
      <c r="J35" s="375">
        <f t="shared" si="6"/>
        <v>14369.175705245172</v>
      </c>
      <c r="K35" s="375">
        <f t="shared" si="6"/>
        <v>-122654</v>
      </c>
      <c r="L35" s="375">
        <f t="shared" si="6"/>
        <v>-28163</v>
      </c>
      <c r="M35" s="375">
        <v>28080.677914169384</v>
      </c>
    </row>
    <row r="36" spans="1:13">
      <c r="A36" s="318"/>
      <c r="B36" s="318" t="s">
        <v>440</v>
      </c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</row>
    <row r="37" spans="1:13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</row>
    <row r="38" spans="1:13">
      <c r="A38" s="331" t="s">
        <v>441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</row>
    <row r="39" spans="1:13">
      <c r="A39" s="331" t="s">
        <v>442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</row>
    <row r="40" spans="1:13">
      <c r="A40" s="331" t="s">
        <v>443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</row>
    <row r="41" spans="1:13">
      <c r="A41" s="331" t="s">
        <v>432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</row>
    <row r="42" spans="1:13">
      <c r="A42" s="331" t="s">
        <v>444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</row>
    <row r="43" spans="1:13">
      <c r="A43" s="331" t="s">
        <v>445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</row>
    <row r="44" spans="1:13">
      <c r="A44" s="316" t="s">
        <v>53</v>
      </c>
      <c r="B44" s="317"/>
      <c r="C44" s="375">
        <f>C35-SUM(C38:C43)</f>
        <v>97725</v>
      </c>
      <c r="D44" s="375">
        <f t="shared" ref="D44:L44" si="7">D35-SUM(D38:D43)</f>
        <v>70184</v>
      </c>
      <c r="E44" s="375">
        <f t="shared" si="7"/>
        <v>57951.084841425298</v>
      </c>
      <c r="F44" s="375">
        <f t="shared" si="7"/>
        <v>78256.921220400545</v>
      </c>
      <c r="G44" s="375">
        <f t="shared" si="7"/>
        <v>46396.404469999994</v>
      </c>
      <c r="H44" s="375">
        <f t="shared" si="7"/>
        <v>22959.628080100942</v>
      </c>
      <c r="I44" s="375">
        <f t="shared" si="7"/>
        <v>140.88288430401917</v>
      </c>
      <c r="J44" s="375">
        <f t="shared" si="7"/>
        <v>8375.8018714157861</v>
      </c>
      <c r="K44" s="375">
        <f t="shared" si="7"/>
        <v>-114404.52688279217</v>
      </c>
      <c r="L44" s="375">
        <f t="shared" si="7"/>
        <v>1433</v>
      </c>
      <c r="M44" s="375">
        <v>59518.578614169382</v>
      </c>
    </row>
    <row r="45" spans="1:13">
      <c r="A45" s="348" t="s">
        <v>446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</row>
    <row r="46" spans="1:13">
      <c r="A46" s="349" t="s">
        <v>447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</row>
    <row r="47" spans="1:13">
      <c r="A47" s="349" t="s">
        <v>448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</row>
    <row r="48" spans="1:13">
      <c r="A48" s="349" t="s">
        <v>449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</row>
    <row r="49" spans="1:13">
      <c r="A49" s="331" t="s">
        <v>450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</row>
    <row r="50" spans="1:13">
      <c r="A50" s="349" t="s">
        <v>451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</row>
    <row r="51" spans="1:13">
      <c r="A51" s="349" t="s">
        <v>452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</row>
    <row r="52" spans="1:13" ht="15.75" thickBot="1">
      <c r="A52" s="320"/>
      <c r="B52" s="321" t="s">
        <v>453</v>
      </c>
      <c r="C52" s="388">
        <f>C44-SUM(C45:C51)</f>
        <v>78723</v>
      </c>
      <c r="D52" s="388">
        <f>D44-SUM(D45:D51)</f>
        <v>80544.357089236029</v>
      </c>
      <c r="E52" s="388">
        <f t="shared" ref="E52:G52" si="8">E44-SUM(E45:E51)</f>
        <v>94617.149773757468</v>
      </c>
      <c r="F52" s="388">
        <f>F44-SUM(F45:F51)</f>
        <v>101561.89191249703</v>
      </c>
      <c r="G52" s="388">
        <f t="shared" si="8"/>
        <v>84056.964548076503</v>
      </c>
      <c r="H52" s="388">
        <f>H44-SUM(H45:H51)</f>
        <v>46331.677970303972</v>
      </c>
      <c r="I52" s="388">
        <f t="shared" ref="I52:L52" si="9">I44-SUM(I45:I51)</f>
        <v>22014.294035117142</v>
      </c>
      <c r="J52" s="388">
        <f t="shared" si="9"/>
        <v>7990.9613684409251</v>
      </c>
      <c r="K52" s="388">
        <f t="shared" si="9"/>
        <v>15173.008459606499</v>
      </c>
      <c r="L52" s="388">
        <f t="shared" si="9"/>
        <v>6005</v>
      </c>
      <c r="M52" s="390">
        <v>63180.4082839658</v>
      </c>
    </row>
    <row r="53" spans="1:13">
      <c r="A53" s="318"/>
      <c r="B53" s="318" t="s">
        <v>454</v>
      </c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Income Statement</vt:lpstr>
      <vt:lpstr>DFC Price</vt:lpstr>
      <vt:lpstr>Balance Sheet</vt:lpstr>
      <vt:lpstr>Cash Flow</vt:lpstr>
      <vt:lpstr>Income Statement Hist</vt:lpstr>
      <vt:lpstr>'BP Price'!_GoBack</vt:lpstr>
      <vt:lpstr>'Balance Sheet'!Area_de_impressao</vt:lpstr>
      <vt:lpstr>'Cash Flow'!Area_de_impressao</vt:lpstr>
      <vt:lpstr>'Income Statement'!Area_de_impressao</vt:lpstr>
      <vt:lpstr>'Planilha Hélio'!Area_de_impressao</vt:lpstr>
      <vt:lpstr>ATIVO</vt:lpstr>
      <vt:lpstr>DRE</vt:lpstr>
      <vt:lpstr>PASSIVO</vt:lpstr>
      <vt:lpstr>'Cash Flow'!Titulos_de_impressao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2023-08-07T20:01:02Z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